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walk\Documents\Businesses\SfS\Articles\Sports Science\Maximal Aerobic Speed (MAS)\"/>
    </mc:Choice>
  </mc:AlternateContent>
  <bookViews>
    <workbookView xWindow="0" yWindow="0" windowWidth="20490" windowHeight="7760"/>
  </bookViews>
  <sheets>
    <sheet name="Thanks for Downloading" sheetId="4" r:id="rId1"/>
    <sheet name="Test Scores" sheetId="3" r:id="rId2"/>
    <sheet name="Distance Calculator" sheetId="2"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2" l="1"/>
  <c r="F30" i="3"/>
  <c r="E14" i="3"/>
  <c r="E7" i="3" l="1"/>
  <c r="F7" i="3" s="1"/>
  <c r="E8" i="3"/>
  <c r="E9" i="3"/>
  <c r="E10" i="3"/>
  <c r="F10" i="3" s="1"/>
  <c r="E11" i="3"/>
  <c r="F11" i="3" s="1"/>
  <c r="G11" i="3" s="1"/>
  <c r="C39" i="2" s="1"/>
  <c r="E12" i="3"/>
  <c r="E13" i="3"/>
  <c r="F13" i="3" s="1"/>
  <c r="E15" i="3"/>
  <c r="F15" i="3" s="1"/>
  <c r="E16" i="3"/>
  <c r="E17" i="3"/>
  <c r="E18" i="3"/>
  <c r="E19" i="3"/>
  <c r="F19" i="3" s="1"/>
  <c r="E20" i="3"/>
  <c r="E21" i="3"/>
  <c r="F21" i="3" s="1"/>
  <c r="E22" i="3"/>
  <c r="F22" i="3" s="1"/>
  <c r="E23" i="3"/>
  <c r="F23" i="3" s="1"/>
  <c r="E24" i="3"/>
  <c r="E25" i="3"/>
  <c r="E26" i="3"/>
  <c r="E27" i="3"/>
  <c r="E28" i="3"/>
  <c r="E29" i="3"/>
  <c r="F29" i="3" s="1"/>
  <c r="E30" i="3"/>
  <c r="E31" i="3"/>
  <c r="F31" i="3" s="1"/>
  <c r="E32" i="3"/>
  <c r="E33" i="3"/>
  <c r="E34" i="3"/>
  <c r="E35" i="3"/>
  <c r="F35" i="3" s="1"/>
  <c r="E36" i="3"/>
  <c r="E37" i="3"/>
  <c r="F37" i="3" s="1"/>
  <c r="E38" i="3"/>
  <c r="F38" i="3" s="1"/>
  <c r="E39" i="3"/>
  <c r="F39" i="3" s="1"/>
  <c r="E40" i="3"/>
  <c r="F18" i="3"/>
  <c r="F26" i="3"/>
  <c r="F27" i="3"/>
  <c r="F34" i="3"/>
  <c r="E6" i="3"/>
  <c r="F6" i="3" s="1"/>
  <c r="G6" i="3" s="1"/>
  <c r="F8" i="3"/>
  <c r="F9" i="3"/>
  <c r="F12" i="3"/>
  <c r="F14" i="3"/>
  <c r="F16" i="3"/>
  <c r="F17" i="3"/>
  <c r="F20" i="3"/>
  <c r="F24" i="3"/>
  <c r="F25" i="3"/>
  <c r="F28" i="3"/>
  <c r="F32" i="3"/>
  <c r="F33" i="3"/>
  <c r="F36" i="3"/>
  <c r="F40" i="3"/>
  <c r="N23" i="2" l="1"/>
  <c r="N22" i="2"/>
  <c r="N21" i="2"/>
  <c r="N20" i="2"/>
  <c r="N19" i="2"/>
  <c r="N18" i="2"/>
  <c r="N17" i="2"/>
  <c r="N16" i="2"/>
  <c r="N15" i="2"/>
  <c r="N14" i="2"/>
  <c r="N13" i="2"/>
  <c r="M23" i="2"/>
  <c r="M22" i="2"/>
  <c r="M21" i="2"/>
  <c r="M20" i="2"/>
  <c r="M19" i="2"/>
  <c r="M18" i="2"/>
  <c r="M17" i="2"/>
  <c r="M16" i="2"/>
  <c r="M15" i="2"/>
  <c r="M14" i="2"/>
  <c r="M13" i="2"/>
  <c r="L23" i="2"/>
  <c r="L22" i="2"/>
  <c r="L21" i="2"/>
  <c r="L20" i="2"/>
  <c r="L19" i="2"/>
  <c r="L18" i="2"/>
  <c r="L17" i="2"/>
  <c r="L16" i="2"/>
  <c r="L15" i="2"/>
  <c r="L14" i="2"/>
  <c r="L13" i="2"/>
  <c r="K23" i="2"/>
  <c r="K22" i="2"/>
  <c r="K21" i="2"/>
  <c r="K20" i="2"/>
  <c r="K19" i="2"/>
  <c r="K18" i="2"/>
  <c r="K17" i="2"/>
  <c r="K16" i="2"/>
  <c r="K15" i="2"/>
  <c r="K14" i="2"/>
  <c r="K13" i="2"/>
  <c r="J23" i="2"/>
  <c r="J22" i="2"/>
  <c r="J21" i="2"/>
  <c r="J20" i="2"/>
  <c r="J19" i="2"/>
  <c r="J18" i="2"/>
  <c r="J17" i="2"/>
  <c r="J16" i="2"/>
  <c r="J15" i="2"/>
  <c r="J14" i="2"/>
  <c r="J13" i="2"/>
  <c r="I23" i="2"/>
  <c r="I22" i="2"/>
  <c r="I21" i="2"/>
  <c r="I20" i="2"/>
  <c r="I19" i="2"/>
  <c r="I18" i="2"/>
  <c r="I17" i="2"/>
  <c r="I16" i="2"/>
  <c r="I15" i="2"/>
  <c r="I14" i="2"/>
  <c r="I13" i="2"/>
  <c r="H23" i="2"/>
  <c r="H22" i="2"/>
  <c r="H21" i="2"/>
  <c r="H20" i="2"/>
  <c r="H19" i="2"/>
  <c r="H18" i="2"/>
  <c r="H17" i="2"/>
  <c r="H16" i="2"/>
  <c r="H15" i="2"/>
  <c r="H14" i="2"/>
  <c r="H13" i="2"/>
  <c r="G23" i="2"/>
  <c r="G22" i="2"/>
  <c r="G21" i="2"/>
  <c r="G20" i="2"/>
  <c r="G19" i="2"/>
  <c r="G18" i="2"/>
  <c r="G17" i="2"/>
  <c r="G16" i="2"/>
  <c r="G15" i="2"/>
  <c r="G14" i="2"/>
  <c r="G13" i="2"/>
  <c r="N12" i="2"/>
  <c r="M12" i="2"/>
  <c r="L12" i="2"/>
  <c r="K12" i="2"/>
  <c r="J12" i="2"/>
  <c r="I12" i="2"/>
  <c r="H12" i="2"/>
  <c r="G12" i="2"/>
  <c r="F23" i="2"/>
  <c r="F22" i="2"/>
  <c r="F21" i="2"/>
  <c r="F20" i="2"/>
  <c r="F19" i="2"/>
  <c r="F18" i="2"/>
  <c r="F17" i="2"/>
  <c r="F16" i="2"/>
  <c r="F15" i="2"/>
  <c r="F14" i="2"/>
  <c r="F13" i="2"/>
  <c r="F12" i="2"/>
  <c r="B22" i="2"/>
  <c r="B8" i="2"/>
  <c r="B25" i="2"/>
  <c r="B35" i="2"/>
  <c r="B16" i="2"/>
  <c r="B24" i="2"/>
  <c r="B40" i="2"/>
  <c r="B9" i="2"/>
  <c r="B31" i="2"/>
  <c r="B37" i="2"/>
  <c r="B28" i="2"/>
  <c r="B13" i="2"/>
  <c r="B32" i="2"/>
  <c r="B38" i="2"/>
  <c r="B29" i="2"/>
  <c r="B14" i="2"/>
  <c r="B17" i="2"/>
  <c r="B34" i="2"/>
  <c r="B21" i="2"/>
  <c r="B20" i="2"/>
  <c r="B23" i="2"/>
  <c r="B10" i="2"/>
  <c r="B26" i="2"/>
  <c r="B36" i="2"/>
  <c r="B12" i="2"/>
  <c r="B27" i="2"/>
  <c r="B6" i="2"/>
  <c r="B39" i="2"/>
  <c r="B30" i="2"/>
  <c r="B15" i="2"/>
  <c r="B18" i="2"/>
  <c r="B33" i="2"/>
  <c r="B7" i="2"/>
  <c r="B19" i="2"/>
  <c r="B11" i="2"/>
  <c r="G7" i="3"/>
  <c r="G8" i="3"/>
  <c r="C12" i="2" s="1"/>
  <c r="G9" i="3"/>
  <c r="N9" i="3" s="1"/>
  <c r="G13" i="3"/>
  <c r="M13" i="3" s="1"/>
  <c r="G14" i="3"/>
  <c r="C18" i="2" s="1"/>
  <c r="G15" i="3"/>
  <c r="G16" i="3"/>
  <c r="C7" i="2" s="1"/>
  <c r="G17" i="3"/>
  <c r="M17" i="3" s="1"/>
  <c r="G18" i="3"/>
  <c r="L18" i="3" s="1"/>
  <c r="G19" i="3"/>
  <c r="G20" i="3"/>
  <c r="C25" i="2" s="1"/>
  <c r="G21" i="3"/>
  <c r="R21" i="3" s="1"/>
  <c r="G22" i="3"/>
  <c r="G23" i="3"/>
  <c r="G24" i="3"/>
  <c r="G25" i="3"/>
  <c r="C9" i="2" s="1"/>
  <c r="G26" i="3"/>
  <c r="C31" i="2" s="1"/>
  <c r="G28" i="3"/>
  <c r="G29" i="3"/>
  <c r="N29" i="3" s="1"/>
  <c r="G30" i="3"/>
  <c r="M30" i="3" s="1"/>
  <c r="G31" i="3"/>
  <c r="G32" i="3"/>
  <c r="P32" i="3" s="1"/>
  <c r="G33" i="3"/>
  <c r="C14" i="2" s="1"/>
  <c r="G34" i="3"/>
  <c r="C17" i="2" s="1"/>
  <c r="G36" i="3"/>
  <c r="G37" i="3"/>
  <c r="C20" i="2" s="1"/>
  <c r="G38" i="3"/>
  <c r="C23" i="2" s="1"/>
  <c r="G39" i="3"/>
  <c r="G40" i="3"/>
  <c r="O40" i="3" s="1"/>
  <c r="G35" i="3"/>
  <c r="P35" i="3" s="1"/>
  <c r="G27" i="3"/>
  <c r="Q27" i="3" s="1"/>
  <c r="G12" i="3"/>
  <c r="C30" i="2" s="1"/>
  <c r="G10" i="3"/>
  <c r="M10" i="3" s="1"/>
  <c r="C22" i="2" l="1"/>
  <c r="C6" i="2"/>
  <c r="C26" i="2"/>
  <c r="C29" i="2"/>
  <c r="P19" i="3"/>
  <c r="C8" i="2"/>
  <c r="L19" i="3"/>
  <c r="P11" i="3"/>
  <c r="M28" i="3"/>
  <c r="C28" i="2"/>
  <c r="O39" i="3"/>
  <c r="C10" i="2"/>
  <c r="M31" i="3"/>
  <c r="C38" i="2"/>
  <c r="Q23" i="3"/>
  <c r="C24" i="2"/>
  <c r="L23" i="3"/>
  <c r="P15" i="3"/>
  <c r="Q15" i="3"/>
  <c r="I15" i="3"/>
  <c r="C33" i="2"/>
  <c r="Q7" i="3"/>
  <c r="C36" i="2"/>
  <c r="O36" i="3"/>
  <c r="C21" i="2"/>
  <c r="Q22" i="3"/>
  <c r="C16" i="2"/>
  <c r="C34" i="2"/>
  <c r="C37" i="2"/>
  <c r="C19" i="2"/>
  <c r="C27" i="2"/>
  <c r="C35" i="2"/>
  <c r="C15" i="2"/>
  <c r="K21" i="3"/>
  <c r="C32" i="2"/>
  <c r="I9" i="3"/>
  <c r="L32" i="3"/>
  <c r="C13" i="2"/>
  <c r="L6" i="3"/>
  <c r="O24" i="3"/>
  <c r="C40" i="2"/>
  <c r="Q38" i="3"/>
  <c r="J38" i="3"/>
  <c r="P34" i="3"/>
  <c r="J34" i="3"/>
  <c r="L34" i="3"/>
  <c r="K26" i="3"/>
  <c r="Q26" i="3"/>
  <c r="M26" i="3"/>
  <c r="J26" i="3"/>
  <c r="M14" i="3"/>
  <c r="J14" i="3"/>
  <c r="P14" i="3"/>
  <c r="J10" i="3"/>
  <c r="P10" i="3"/>
  <c r="L15" i="3"/>
  <c r="Q17" i="3"/>
  <c r="M27" i="3"/>
  <c r="Q30" i="3"/>
  <c r="K33" i="3"/>
  <c r="K17" i="3"/>
  <c r="J22" i="3"/>
  <c r="K29" i="3"/>
  <c r="K13" i="3"/>
  <c r="J30" i="3"/>
  <c r="L21" i="3"/>
  <c r="K25" i="3"/>
  <c r="P6" i="3"/>
  <c r="K6" i="3"/>
  <c r="Q9" i="3"/>
  <c r="I11" i="3"/>
  <c r="M18" i="3"/>
  <c r="Q19" i="3"/>
  <c r="Q32" i="3"/>
  <c r="Q34" i="3"/>
  <c r="J6" i="3"/>
  <c r="J37" i="3"/>
  <c r="J33" i="3"/>
  <c r="J29" i="3"/>
  <c r="J25" i="3"/>
  <c r="J21" i="3"/>
  <c r="J17" i="3"/>
  <c r="J13" i="3"/>
  <c r="J9" i="3"/>
  <c r="K40" i="3"/>
  <c r="K36" i="3"/>
  <c r="K32" i="3"/>
  <c r="K28" i="3"/>
  <c r="K24" i="3"/>
  <c r="K20" i="3"/>
  <c r="K16" i="3"/>
  <c r="K12" i="3"/>
  <c r="K8" i="3"/>
  <c r="J18" i="3"/>
  <c r="K37" i="3"/>
  <c r="K9" i="3"/>
  <c r="M7" i="3"/>
  <c r="L11" i="3"/>
  <c r="Q13" i="3"/>
  <c r="P18" i="3"/>
  <c r="L27" i="3"/>
  <c r="I29" i="3"/>
  <c r="P31" i="3"/>
  <c r="M38" i="3"/>
  <c r="J40" i="3"/>
  <c r="J36" i="3"/>
  <c r="J32" i="3"/>
  <c r="J28" i="3"/>
  <c r="J24" i="3"/>
  <c r="J20" i="3"/>
  <c r="J16" i="3"/>
  <c r="J12" i="3"/>
  <c r="J8" i="3"/>
  <c r="K39" i="3"/>
  <c r="K35" i="3"/>
  <c r="K31" i="3"/>
  <c r="K27" i="3"/>
  <c r="K23" i="3"/>
  <c r="K19" i="3"/>
  <c r="K15" i="3"/>
  <c r="K11" i="3"/>
  <c r="K7" i="3"/>
  <c r="Q11" i="3"/>
  <c r="J39" i="3"/>
  <c r="J35" i="3"/>
  <c r="J31" i="3"/>
  <c r="J27" i="3"/>
  <c r="J23" i="3"/>
  <c r="J19" i="3"/>
  <c r="J15" i="3"/>
  <c r="J11" i="3"/>
  <c r="J7" i="3"/>
  <c r="K38" i="3"/>
  <c r="K34" i="3"/>
  <c r="K30" i="3"/>
  <c r="K22" i="3"/>
  <c r="K18" i="3"/>
  <c r="K14" i="3"/>
  <c r="K10" i="3"/>
  <c r="P24" i="3"/>
  <c r="P39" i="3"/>
  <c r="O7" i="3"/>
  <c r="Q10" i="3"/>
  <c r="M11" i="3"/>
  <c r="Q14" i="3"/>
  <c r="M15" i="3"/>
  <c r="Q18" i="3"/>
  <c r="M19" i="3"/>
  <c r="N21" i="3"/>
  <c r="M22" i="3"/>
  <c r="M23" i="3"/>
  <c r="I24" i="3"/>
  <c r="O27" i="3"/>
  <c r="I28" i="3"/>
  <c r="P28" i="3"/>
  <c r="Q31" i="3"/>
  <c r="M32" i="3"/>
  <c r="M34" i="3"/>
  <c r="I36" i="3"/>
  <c r="O38" i="3"/>
  <c r="I39" i="3"/>
  <c r="O28" i="3"/>
  <c r="I7" i="3"/>
  <c r="P7" i="3"/>
  <c r="L10" i="3"/>
  <c r="O11" i="3"/>
  <c r="L14" i="3"/>
  <c r="O15" i="3"/>
  <c r="O19" i="3"/>
  <c r="P21" i="3"/>
  <c r="P23" i="3"/>
  <c r="L24" i="3"/>
  <c r="I27" i="3"/>
  <c r="P27" i="3"/>
  <c r="L28" i="3"/>
  <c r="Q28" i="3"/>
  <c r="L31" i="3"/>
  <c r="O32" i="3"/>
  <c r="O34" i="3"/>
  <c r="L35" i="3"/>
  <c r="M36" i="3"/>
  <c r="I38" i="3"/>
  <c r="P38" i="3"/>
  <c r="L39" i="3"/>
  <c r="I40" i="3"/>
  <c r="L7" i="3"/>
  <c r="I19" i="3"/>
  <c r="I21" i="3"/>
  <c r="I32" i="3"/>
  <c r="I34" i="3"/>
  <c r="L38" i="3"/>
  <c r="Q8" i="3"/>
  <c r="M8" i="3"/>
  <c r="R12" i="3"/>
  <c r="M6" i="3"/>
  <c r="Q6" i="3"/>
  <c r="I8" i="3"/>
  <c r="P8" i="3"/>
  <c r="P9" i="3"/>
  <c r="L9" i="3"/>
  <c r="O9" i="3"/>
  <c r="I12" i="3"/>
  <c r="N16" i="3"/>
  <c r="N20" i="3"/>
  <c r="Q25" i="3"/>
  <c r="M25" i="3"/>
  <c r="P25" i="3"/>
  <c r="L25" i="3"/>
  <c r="O25" i="3"/>
  <c r="I25" i="3"/>
  <c r="R25" i="3"/>
  <c r="N25" i="3"/>
  <c r="O8" i="3"/>
  <c r="Q12" i="3"/>
  <c r="M12" i="3"/>
  <c r="P12" i="3"/>
  <c r="L12" i="3"/>
  <c r="Q16" i="3"/>
  <c r="M16" i="3"/>
  <c r="P16" i="3"/>
  <c r="L16" i="3"/>
  <c r="O16" i="3"/>
  <c r="I16" i="3"/>
  <c r="Q20" i="3"/>
  <c r="M20" i="3"/>
  <c r="P20" i="3"/>
  <c r="L20" i="3"/>
  <c r="O20" i="3"/>
  <c r="I20" i="3"/>
  <c r="N6" i="3"/>
  <c r="R6" i="3"/>
  <c r="L8" i="3"/>
  <c r="R8" i="3"/>
  <c r="N12" i="3"/>
  <c r="R16" i="3"/>
  <c r="R20" i="3"/>
  <c r="I6" i="3"/>
  <c r="O6" i="3"/>
  <c r="N7" i="3"/>
  <c r="R7" i="3"/>
  <c r="N8" i="3"/>
  <c r="M9" i="3"/>
  <c r="R9" i="3"/>
  <c r="O12" i="3"/>
  <c r="N13" i="3"/>
  <c r="R13" i="3"/>
  <c r="N17" i="3"/>
  <c r="R17" i="3"/>
  <c r="N10" i="3"/>
  <c r="R10" i="3"/>
  <c r="I13" i="3"/>
  <c r="O13" i="3"/>
  <c r="N14" i="3"/>
  <c r="R14" i="3"/>
  <c r="I17" i="3"/>
  <c r="O17" i="3"/>
  <c r="N18" i="3"/>
  <c r="R18" i="3"/>
  <c r="I10" i="3"/>
  <c r="O10" i="3"/>
  <c r="N11" i="3"/>
  <c r="R11" i="3"/>
  <c r="L13" i="3"/>
  <c r="P13" i="3"/>
  <c r="I14" i="3"/>
  <c r="O14" i="3"/>
  <c r="N15" i="3"/>
  <c r="R15" i="3"/>
  <c r="L17" i="3"/>
  <c r="P17" i="3"/>
  <c r="I18" i="3"/>
  <c r="O18" i="3"/>
  <c r="N19" i="3"/>
  <c r="R19" i="3"/>
  <c r="Q21" i="3"/>
  <c r="M21" i="3"/>
  <c r="O21" i="3"/>
  <c r="N22" i="3"/>
  <c r="R22" i="3"/>
  <c r="N26" i="3"/>
  <c r="R26" i="3"/>
  <c r="Q33" i="3"/>
  <c r="M33" i="3"/>
  <c r="P33" i="3"/>
  <c r="L33" i="3"/>
  <c r="O33" i="3"/>
  <c r="I33" i="3"/>
  <c r="I22" i="3"/>
  <c r="O22" i="3"/>
  <c r="N23" i="3"/>
  <c r="R23" i="3"/>
  <c r="M24" i="3"/>
  <c r="Q24" i="3"/>
  <c r="I26" i="3"/>
  <c r="O26" i="3"/>
  <c r="N27" i="3"/>
  <c r="R27" i="3"/>
  <c r="O29" i="3"/>
  <c r="N33" i="3"/>
  <c r="L22" i="3"/>
  <c r="P22" i="3"/>
  <c r="I23" i="3"/>
  <c r="O23" i="3"/>
  <c r="N24" i="3"/>
  <c r="R24" i="3"/>
  <c r="L26" i="3"/>
  <c r="P26" i="3"/>
  <c r="Q29" i="3"/>
  <c r="M29" i="3"/>
  <c r="P29" i="3"/>
  <c r="L29" i="3"/>
  <c r="R29" i="3"/>
  <c r="R33" i="3"/>
  <c r="N30" i="3"/>
  <c r="R30" i="3"/>
  <c r="Q37" i="3"/>
  <c r="M37" i="3"/>
  <c r="P37" i="3"/>
  <c r="L37" i="3"/>
  <c r="O37" i="3"/>
  <c r="I37" i="3"/>
  <c r="I30" i="3"/>
  <c r="O30" i="3"/>
  <c r="N31" i="3"/>
  <c r="R31" i="3"/>
  <c r="N37" i="3"/>
  <c r="N28" i="3"/>
  <c r="R28" i="3"/>
  <c r="L30" i="3"/>
  <c r="P30" i="3"/>
  <c r="I31" i="3"/>
  <c r="O31" i="3"/>
  <c r="N32" i="3"/>
  <c r="R32" i="3"/>
  <c r="R37" i="3"/>
  <c r="N34" i="3"/>
  <c r="R34" i="3"/>
  <c r="M35" i="3"/>
  <c r="Q35" i="3"/>
  <c r="L36" i="3"/>
  <c r="P36" i="3"/>
  <c r="N38" i="3"/>
  <c r="R38" i="3"/>
  <c r="M39" i="3"/>
  <c r="Q39" i="3"/>
  <c r="L40" i="3"/>
  <c r="P40" i="3"/>
  <c r="N35" i="3"/>
  <c r="R35" i="3"/>
  <c r="Q36" i="3"/>
  <c r="N39" i="3"/>
  <c r="R39" i="3"/>
  <c r="M40" i="3"/>
  <c r="Q40" i="3"/>
  <c r="I35" i="3"/>
  <c r="O35" i="3"/>
  <c r="N36" i="3"/>
  <c r="R36" i="3"/>
  <c r="N40" i="3"/>
  <c r="R40" i="3"/>
</calcChain>
</file>

<file path=xl/sharedStrings.xml><?xml version="1.0" encoding="utf-8"?>
<sst xmlns="http://schemas.openxmlformats.org/spreadsheetml/2006/main" count="63" uniqueCount="60">
  <si>
    <t xml:space="preserve">Name </t>
  </si>
  <si>
    <t xml:space="preserve">Athlete 1 </t>
  </si>
  <si>
    <t>Athlete 2</t>
  </si>
  <si>
    <t>Athlete 6</t>
  </si>
  <si>
    <t>Athlete 3</t>
  </si>
  <si>
    <t>Athlete 4</t>
  </si>
  <si>
    <t>Athlete 5</t>
  </si>
  <si>
    <t>Athlete 7</t>
  </si>
  <si>
    <t>Athlete 8</t>
  </si>
  <si>
    <t>Athlete 9</t>
  </si>
  <si>
    <t>Athlete 10</t>
  </si>
  <si>
    <t>Athlete 11</t>
  </si>
  <si>
    <t>Athlete 12</t>
  </si>
  <si>
    <t>Athlete 13</t>
  </si>
  <si>
    <t>Athlete 14</t>
  </si>
  <si>
    <t>Athlete 15</t>
  </si>
  <si>
    <t>Athlete 16</t>
  </si>
  <si>
    <t>Athlete 17</t>
  </si>
  <si>
    <t>Athlete 18</t>
  </si>
  <si>
    <t>Athlete 19</t>
  </si>
  <si>
    <t>1500m Time (mins)</t>
  </si>
  <si>
    <t>1500m Time (secs)</t>
  </si>
  <si>
    <t>MAS Score (m/s)</t>
  </si>
  <si>
    <t>Speed (m/s) at Various Percentages of MAS</t>
  </si>
  <si>
    <t>Test Score</t>
  </si>
  <si>
    <t>Athlete 20</t>
  </si>
  <si>
    <t>Athlete 21</t>
  </si>
  <si>
    <t>Athlete 22</t>
  </si>
  <si>
    <t>Athlete 23</t>
  </si>
  <si>
    <t>Athlete 24</t>
  </si>
  <si>
    <t>Athlete 25</t>
  </si>
  <si>
    <t>Athlete 26</t>
  </si>
  <si>
    <t>Athlete 27</t>
  </si>
  <si>
    <t>Athlete 28</t>
  </si>
  <si>
    <t>Athlete 29</t>
  </si>
  <si>
    <t>Athlete 30</t>
  </si>
  <si>
    <t>Athlete 31</t>
  </si>
  <si>
    <t>Athlete 32</t>
  </si>
  <si>
    <t>Athlete 33</t>
  </si>
  <si>
    <t>Athlete 34</t>
  </si>
  <si>
    <t>Athlete 35</t>
  </si>
  <si>
    <t>Maximal Speed (m/s)</t>
  </si>
  <si>
    <t>AVR*</t>
  </si>
  <si>
    <t>Distances covered (m) based on given % and durations of MAS</t>
  </si>
  <si>
    <t>Time (s)</t>
  </si>
  <si>
    <t>Edit ONLY green cells</t>
  </si>
  <si>
    <t xml:space="preserve">Read the full MAS article here: </t>
  </si>
  <si>
    <t>https://www.scienceforsport.com/maximal-aerobic-speed-mas/</t>
  </si>
  <si>
    <t>*Anaerobic Velocity Reserve (AVR)</t>
  </si>
  <si>
    <t>Insert the athlete's MAS Score (m/s) to calculate distances</t>
  </si>
  <si>
    <t>Using the table on the left, sort the data into lowest-to-highest MAS score values (as shown) to make it easier to pool athletes into various training groups. Alternatively, you can always conditional format the cells to automatically group athletes into desired groups based on your own arbitrary thresholds.</t>
  </si>
  <si>
    <t>Thanks for downloading the</t>
  </si>
  <si>
    <t xml:space="preserve"> We hope you find this tool very useful.</t>
  </si>
  <si>
    <r>
      <t>The answer?</t>
    </r>
    <r>
      <rPr>
        <b/>
        <sz val="14"/>
        <color theme="1"/>
        <rFont val="Segoe UI Light"/>
        <family val="2"/>
      </rPr>
      <t xml:space="preserve"> The Performance Digest</t>
    </r>
  </si>
  <si>
    <t>The Performance Digest is a monthly review of the latest sports performance research.</t>
  </si>
  <si>
    <t>Maximal Aerobic Speed (MAS) Toolkit</t>
  </si>
  <si>
    <t>Struggling to stay up-to-date with the latest research and info in sports performance?</t>
  </si>
  <si>
    <t>Minutes</t>
  </si>
  <si>
    <t>Seconds</t>
  </si>
  <si>
    <r>
      <rPr>
        <b/>
        <sz val="12"/>
        <color theme="1"/>
        <rFont val="Segoe UI Light"/>
        <family val="2"/>
      </rPr>
      <t>Topics include</t>
    </r>
    <r>
      <rPr>
        <sz val="12"/>
        <color theme="1"/>
        <rFont val="Segoe UI Light"/>
        <family val="2"/>
      </rPr>
      <t xml:space="preserve">: strength and conditioning, nutrition, fatigue and recovery, technology and monitoring, youth development, injury prevention and rehab, and the science of coaching.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</si>
</sst>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_-* #,##0.00000000_-;\-* #,##0.00000000_-;_-* &quot;-&quot;??_-;_-@_-"/>
  </numFmts>
  <fonts count="17" x14ac:knownFonts="1">
    <font>
      <sz val="11"/>
      <color theme="1"/>
      <name val="Calibri"/>
      <family val="2"/>
      <scheme val="minor"/>
    </font>
    <font>
      <sz val="10"/>
      <name val="Arial"/>
      <family val="2"/>
    </font>
    <font>
      <b/>
      <sz val="10"/>
      <color theme="0"/>
      <name val="Arial"/>
      <family val="2"/>
    </font>
    <font>
      <sz val="10"/>
      <color theme="0"/>
      <name val="Arial"/>
      <family val="2"/>
    </font>
    <font>
      <b/>
      <sz val="11"/>
      <color theme="1"/>
      <name val="Calibri"/>
      <family val="2"/>
      <scheme val="minor"/>
    </font>
    <font>
      <sz val="11"/>
      <color theme="0"/>
      <name val="Calibri"/>
      <family val="2"/>
      <scheme val="minor"/>
    </font>
    <font>
      <u/>
      <sz val="11"/>
      <color theme="10"/>
      <name val="Calibri"/>
      <family val="2"/>
      <scheme val="minor"/>
    </font>
    <font>
      <sz val="11"/>
      <color theme="1"/>
      <name val="Segoe UI Light"/>
      <family val="2"/>
    </font>
    <font>
      <b/>
      <sz val="28"/>
      <color theme="1"/>
      <name val="Segoe UI Light"/>
      <family val="2"/>
    </font>
    <font>
      <sz val="20"/>
      <color theme="1"/>
      <name val="Segoe UI Light"/>
      <family val="2"/>
    </font>
    <font>
      <b/>
      <sz val="20"/>
      <color theme="1"/>
      <name val="Segoe UI Light"/>
      <family val="2"/>
    </font>
    <font>
      <sz val="14"/>
      <color theme="1"/>
      <name val="Segoe UI Light"/>
      <family val="2"/>
    </font>
    <font>
      <b/>
      <sz val="16"/>
      <color theme="1"/>
      <name val="Segoe UI Light"/>
      <family val="2"/>
    </font>
    <font>
      <b/>
      <sz val="14"/>
      <color theme="1"/>
      <name val="Segoe UI Light"/>
      <family val="2"/>
    </font>
    <font>
      <sz val="12"/>
      <color theme="1"/>
      <name val="Segoe UI Light"/>
      <family val="2"/>
    </font>
    <font>
      <b/>
      <sz val="12"/>
      <color theme="1"/>
      <name val="Segoe UI Light"/>
      <family val="2"/>
    </font>
    <font>
      <sz val="11"/>
      <color theme="1"/>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theme="8" tint="-0.249977111117893"/>
        <bgColor indexed="64"/>
      </patternFill>
    </fill>
    <fill>
      <patternFill patternType="solid">
        <fgColor rgb="FF002060"/>
        <bgColor indexed="64"/>
      </patternFill>
    </fill>
    <fill>
      <patternFill patternType="solid">
        <fgColor theme="9" tint="0.39997558519241921"/>
        <bgColor indexed="64"/>
      </patternFill>
    </fill>
    <fill>
      <patternFill patternType="solid">
        <fgColor theme="0"/>
        <bgColor indexed="64"/>
      </patternFill>
    </fill>
  </fills>
  <borders count="37">
    <border>
      <left/>
      <right/>
      <top/>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thin">
        <color auto="1"/>
      </left>
      <right/>
      <top/>
      <bottom style="thin">
        <color auto="1"/>
      </bottom>
      <diagonal/>
    </border>
    <border>
      <left style="thin">
        <color auto="1"/>
      </left>
      <right/>
      <top style="thin">
        <color auto="1"/>
      </top>
      <bottom style="thin">
        <color auto="1"/>
      </bottom>
      <diagonal/>
    </border>
    <border>
      <left/>
      <right/>
      <top style="medium">
        <color indexed="64"/>
      </top>
      <bottom/>
      <diagonal/>
    </border>
    <border>
      <left/>
      <right style="thin">
        <color auto="1"/>
      </right>
      <top style="thin">
        <color auto="1"/>
      </top>
      <bottom style="medium">
        <color auto="1"/>
      </bottom>
      <diagonal/>
    </border>
    <border>
      <left style="medium">
        <color indexed="64"/>
      </left>
      <right style="medium">
        <color indexed="64"/>
      </right>
      <top style="medium">
        <color indexed="64"/>
      </top>
      <bottom style="medium">
        <color indexed="64"/>
      </bottom>
      <diagonal/>
    </border>
    <border>
      <left/>
      <right style="medium">
        <color auto="1"/>
      </right>
      <top style="thin">
        <color auto="1"/>
      </top>
      <bottom style="thin">
        <color auto="1"/>
      </bottom>
      <diagonal/>
    </border>
    <border>
      <left style="thin">
        <color auto="1"/>
      </left>
      <right/>
      <top style="thin">
        <color auto="1"/>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auto="1"/>
      </bottom>
      <diagonal/>
    </border>
    <border>
      <left/>
      <right style="thin">
        <color auto="1"/>
      </right>
      <top/>
      <bottom style="thin">
        <color auto="1"/>
      </bottom>
      <diagonal/>
    </border>
    <border>
      <left style="medium">
        <color auto="1"/>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auto="1"/>
      </top>
      <bottom style="thin">
        <color auto="1"/>
      </bottom>
      <diagonal/>
    </border>
    <border>
      <left/>
      <right style="medium">
        <color auto="1"/>
      </right>
      <top style="thin">
        <color auto="1"/>
      </top>
      <bottom/>
      <diagonal/>
    </border>
    <border>
      <left/>
      <right/>
      <top style="thin">
        <color auto="1"/>
      </top>
      <bottom/>
      <diagonal/>
    </border>
    <border>
      <left/>
      <right style="thin">
        <color auto="1"/>
      </right>
      <top/>
      <bottom style="medium">
        <color indexed="64"/>
      </bottom>
      <diagonal/>
    </border>
    <border>
      <left style="medium">
        <color auto="1"/>
      </left>
      <right style="thin">
        <color auto="1"/>
      </right>
      <top/>
      <bottom style="medium">
        <color indexed="64"/>
      </bottom>
      <diagonal/>
    </border>
    <border>
      <left/>
      <right/>
      <top style="medium">
        <color auto="1"/>
      </top>
      <bottom style="thin">
        <color auto="1"/>
      </bottom>
      <diagonal/>
    </border>
  </borders>
  <cellStyleXfs count="4">
    <xf numFmtId="0" fontId="0" fillId="0" borderId="0"/>
    <xf numFmtId="0" fontId="1" fillId="0" borderId="0"/>
    <xf numFmtId="0" fontId="6" fillId="0" borderId="0" applyNumberFormat="0" applyFill="0" applyBorder="0" applyAlignment="0" applyProtection="0"/>
    <xf numFmtId="43" fontId="16" fillId="0" borderId="0" applyFont="0" applyFill="0" applyBorder="0" applyAlignment="0" applyProtection="0"/>
  </cellStyleXfs>
  <cellXfs count="87">
    <xf numFmtId="0" fontId="0" fillId="0" borderId="0" xfId="0"/>
    <xf numFmtId="0" fontId="0" fillId="0" borderId="0" xfId="0" applyProtection="1">
      <protection locked="0"/>
    </xf>
    <xf numFmtId="0" fontId="0" fillId="7" borderId="0" xfId="0" applyFill="1" applyAlignment="1" applyProtection="1">
      <alignment horizontal="center"/>
      <protection locked="0"/>
    </xf>
    <xf numFmtId="0" fontId="1" fillId="0" borderId="0" xfId="1" applyBorder="1" applyProtection="1">
      <protection locked="0"/>
    </xf>
    <xf numFmtId="0" fontId="2" fillId="6" borderId="26" xfId="1" applyFont="1" applyFill="1" applyBorder="1" applyAlignment="1" applyProtection="1">
      <alignment horizontal="center"/>
      <protection locked="0"/>
    </xf>
    <xf numFmtId="0" fontId="3" fillId="5" borderId="23" xfId="1" applyFont="1" applyFill="1" applyBorder="1" applyProtection="1">
      <protection locked="0"/>
    </xf>
    <xf numFmtId="164" fontId="1" fillId="7" borderId="10" xfId="1" applyNumberFormat="1" applyFill="1" applyBorder="1" applyAlignment="1" applyProtection="1">
      <alignment horizontal="center"/>
      <protection locked="0"/>
    </xf>
    <xf numFmtId="0" fontId="3" fillId="5" borderId="12" xfId="1" applyFont="1" applyFill="1" applyBorder="1" applyProtection="1">
      <protection locked="0"/>
    </xf>
    <xf numFmtId="164" fontId="1" fillId="7" borderId="4" xfId="1" applyNumberFormat="1" applyFill="1" applyBorder="1" applyAlignment="1" applyProtection="1">
      <alignment horizontal="center"/>
      <protection locked="0"/>
    </xf>
    <xf numFmtId="1" fontId="1" fillId="7" borderId="4" xfId="1" applyNumberFormat="1" applyFill="1" applyBorder="1" applyAlignment="1" applyProtection="1">
      <alignment horizontal="center"/>
      <protection locked="0"/>
    </xf>
    <xf numFmtId="0" fontId="3" fillId="5" borderId="13" xfId="1" applyFont="1" applyFill="1" applyBorder="1" applyProtection="1">
      <protection locked="0"/>
    </xf>
    <xf numFmtId="1" fontId="1" fillId="7" borderId="7" xfId="1" applyNumberFormat="1" applyFill="1" applyBorder="1" applyAlignment="1" applyProtection="1">
      <alignment horizontal="center"/>
      <protection locked="0"/>
    </xf>
    <xf numFmtId="0" fontId="7" fillId="2" borderId="0" xfId="0" applyFont="1" applyFill="1"/>
    <xf numFmtId="0" fontId="9" fillId="2" borderId="0" xfId="0" applyFont="1" applyFill="1"/>
    <xf numFmtId="0" fontId="11" fillId="2" borderId="0" xfId="0" applyFont="1" applyFill="1"/>
    <xf numFmtId="0" fontId="12" fillId="2" borderId="0" xfId="0" applyFont="1" applyFill="1"/>
    <xf numFmtId="0" fontId="14" fillId="2" borderId="0" xfId="0" applyFont="1" applyFill="1" applyAlignment="1"/>
    <xf numFmtId="0" fontId="14" fillId="2" borderId="0" xfId="0" applyFont="1" applyFill="1"/>
    <xf numFmtId="0" fontId="6" fillId="2" borderId="0" xfId="2" applyFill="1"/>
    <xf numFmtId="0" fontId="0" fillId="0" borderId="0" xfId="0" applyProtection="1"/>
    <xf numFmtId="0" fontId="0" fillId="0" borderId="0" xfId="0" applyAlignment="1" applyProtection="1">
      <alignment horizontal="center"/>
    </xf>
    <xf numFmtId="0" fontId="0" fillId="7" borderId="0" xfId="0" applyFill="1" applyAlignment="1" applyProtection="1">
      <alignment horizontal="center"/>
    </xf>
    <xf numFmtId="0" fontId="0" fillId="0" borderId="0" xfId="0" applyAlignment="1" applyProtection="1">
      <alignment horizontal="right"/>
    </xf>
    <xf numFmtId="0" fontId="6" fillId="2" borderId="0" xfId="2" applyFill="1" applyAlignment="1" applyProtection="1">
      <alignment horizontal="left"/>
    </xf>
    <xf numFmtId="0" fontId="0" fillId="2" borderId="0" xfId="0" applyFill="1" applyAlignment="1" applyProtection="1">
      <alignment horizontal="center"/>
    </xf>
    <xf numFmtId="0" fontId="0" fillId="0" borderId="0" xfId="0" applyAlignment="1" applyProtection="1">
      <alignment horizontal="left"/>
    </xf>
    <xf numFmtId="9" fontId="2" fillId="6" borderId="25" xfId="1" applyNumberFormat="1" applyFont="1" applyFill="1" applyBorder="1" applyAlignment="1" applyProtection="1">
      <alignment horizontal="center"/>
    </xf>
    <xf numFmtId="9" fontId="2" fillId="6" borderId="29" xfId="1" applyNumberFormat="1" applyFont="1" applyFill="1" applyBorder="1" applyAlignment="1" applyProtection="1">
      <alignment horizontal="center"/>
    </xf>
    <xf numFmtId="9" fontId="2" fillId="6" borderId="26" xfId="1" applyNumberFormat="1" applyFont="1" applyFill="1" applyBorder="1" applyAlignment="1" applyProtection="1">
      <alignment horizontal="center"/>
    </xf>
    <xf numFmtId="9" fontId="2" fillId="6" borderId="28" xfId="1" applyNumberFormat="1" applyFont="1" applyFill="1" applyBorder="1" applyAlignment="1" applyProtection="1">
      <alignment horizontal="center"/>
    </xf>
    <xf numFmtId="164" fontId="1" fillId="3" borderId="9" xfId="1" applyNumberFormat="1" applyFill="1" applyBorder="1" applyAlignment="1" applyProtection="1">
      <alignment horizontal="center"/>
    </xf>
    <xf numFmtId="164" fontId="1" fillId="3" borderId="24" xfId="1" applyNumberFormat="1" applyFill="1" applyBorder="1" applyAlignment="1" applyProtection="1">
      <alignment horizontal="center"/>
    </xf>
    <xf numFmtId="164" fontId="1" fillId="3" borderId="10" xfId="1" applyNumberFormat="1" applyFill="1" applyBorder="1" applyAlignment="1" applyProtection="1">
      <alignment horizontal="center"/>
    </xf>
    <xf numFmtId="164" fontId="1" fillId="3" borderId="11" xfId="1" applyNumberFormat="1" applyFill="1" applyBorder="1" applyAlignment="1" applyProtection="1">
      <alignment horizontal="center"/>
    </xf>
    <xf numFmtId="164" fontId="1" fillId="3" borderId="2" xfId="1" applyNumberFormat="1" applyFill="1" applyBorder="1" applyAlignment="1" applyProtection="1">
      <alignment horizontal="center"/>
    </xf>
    <xf numFmtId="164" fontId="1" fillId="3" borderId="8" xfId="1" applyNumberFormat="1" applyFill="1" applyBorder="1" applyAlignment="1" applyProtection="1">
      <alignment horizontal="center"/>
    </xf>
    <xf numFmtId="164" fontId="1" fillId="3" borderId="4" xfId="1" applyNumberFormat="1" applyFill="1" applyBorder="1" applyAlignment="1" applyProtection="1">
      <alignment horizontal="center"/>
    </xf>
    <xf numFmtId="164" fontId="1" fillId="3" borderId="3" xfId="1" applyNumberFormat="1" applyFill="1" applyBorder="1" applyAlignment="1" applyProtection="1">
      <alignment horizontal="center"/>
    </xf>
    <xf numFmtId="164" fontId="1" fillId="3" borderId="5" xfId="1" applyNumberFormat="1" applyFill="1" applyBorder="1" applyAlignment="1" applyProtection="1">
      <alignment horizontal="center"/>
    </xf>
    <xf numFmtId="164" fontId="1" fillId="3" borderId="17" xfId="1" applyNumberFormat="1" applyFill="1" applyBorder="1" applyAlignment="1" applyProtection="1">
      <alignment horizontal="center"/>
    </xf>
    <xf numFmtId="164" fontId="1" fillId="3" borderId="7" xfId="1" applyNumberFormat="1" applyFill="1" applyBorder="1" applyAlignment="1" applyProtection="1">
      <alignment horizontal="center"/>
    </xf>
    <xf numFmtId="164" fontId="1" fillId="3" borderId="6" xfId="1" applyNumberFormat="1" applyFill="1" applyBorder="1" applyAlignment="1" applyProtection="1">
      <alignment horizontal="center"/>
    </xf>
    <xf numFmtId="0" fontId="2" fillId="4" borderId="18" xfId="1" applyFont="1" applyFill="1" applyBorder="1" applyAlignment="1" applyProtection="1">
      <alignment horizontal="center"/>
      <protection locked="0"/>
    </xf>
    <xf numFmtId="165" fontId="0" fillId="0" borderId="0" xfId="3" applyNumberFormat="1" applyFont="1" applyAlignment="1" applyProtection="1">
      <alignment horizontal="center"/>
    </xf>
    <xf numFmtId="1" fontId="1" fillId="7" borderId="8" xfId="1" applyNumberFormat="1" applyFill="1" applyBorder="1" applyAlignment="1" applyProtection="1">
      <alignment horizontal="center"/>
      <protection locked="0"/>
    </xf>
    <xf numFmtId="0" fontId="1" fillId="7" borderId="24" xfId="1" applyNumberFormat="1" applyFill="1" applyBorder="1" applyAlignment="1" applyProtection="1">
      <alignment horizontal="center"/>
      <protection locked="0"/>
    </xf>
    <xf numFmtId="1" fontId="1" fillId="7" borderId="12" xfId="1" applyNumberFormat="1" applyFill="1" applyBorder="1" applyAlignment="1" applyProtection="1">
      <alignment horizontal="center"/>
      <protection locked="0"/>
    </xf>
    <xf numFmtId="0" fontId="1" fillId="7" borderId="23" xfId="1" applyNumberFormat="1" applyFill="1" applyBorder="1" applyAlignment="1" applyProtection="1">
      <alignment horizontal="center"/>
      <protection locked="0"/>
    </xf>
    <xf numFmtId="0" fontId="1" fillId="7" borderId="30" xfId="1" applyNumberFormat="1" applyFill="1" applyBorder="1" applyAlignment="1" applyProtection="1">
      <alignment horizontal="center"/>
      <protection locked="0"/>
    </xf>
    <xf numFmtId="0" fontId="3" fillId="5" borderId="19" xfId="1" applyFont="1" applyFill="1" applyBorder="1" applyProtection="1">
      <protection locked="0"/>
    </xf>
    <xf numFmtId="164" fontId="1" fillId="2" borderId="31" xfId="1" applyNumberFormat="1" applyFill="1" applyBorder="1" applyAlignment="1" applyProtection="1">
      <alignment horizontal="center"/>
      <protection locked="0"/>
    </xf>
    <xf numFmtId="0" fontId="3" fillId="5" borderId="32" xfId="1" applyFont="1" applyFill="1" applyBorder="1" applyProtection="1">
      <protection locked="0"/>
    </xf>
    <xf numFmtId="164" fontId="1" fillId="2" borderId="33" xfId="1" applyNumberFormat="1" applyFill="1" applyBorder="1" applyAlignment="1" applyProtection="1">
      <alignment horizontal="center"/>
      <protection locked="0"/>
    </xf>
    <xf numFmtId="0" fontId="1" fillId="0" borderId="0" xfId="1" applyBorder="1" applyProtection="1"/>
    <xf numFmtId="0" fontId="1" fillId="7" borderId="34" xfId="1" applyNumberFormat="1" applyFill="1" applyBorder="1" applyAlignment="1" applyProtection="1">
      <alignment horizontal="center"/>
      <protection locked="0"/>
    </xf>
    <xf numFmtId="0" fontId="2" fillId="6" borderId="18" xfId="1" applyFont="1" applyFill="1" applyBorder="1" applyProtection="1"/>
    <xf numFmtId="0" fontId="2" fillId="6" borderId="18" xfId="1" applyFont="1" applyFill="1" applyBorder="1" applyAlignment="1" applyProtection="1">
      <alignment horizontal="center"/>
    </xf>
    <xf numFmtId="0" fontId="2" fillId="6" borderId="29" xfId="1" applyFont="1" applyFill="1" applyBorder="1" applyAlignment="1" applyProtection="1">
      <alignment horizontal="center"/>
    </xf>
    <xf numFmtId="45" fontId="1" fillId="8" borderId="9" xfId="1" applyNumberFormat="1" applyFill="1" applyBorder="1" applyAlignment="1" applyProtection="1">
      <alignment horizontal="center"/>
    </xf>
    <xf numFmtId="1" fontId="1" fillId="2" borderId="4" xfId="1" applyNumberFormat="1" applyFill="1" applyBorder="1" applyAlignment="1" applyProtection="1">
      <alignment horizontal="center"/>
    </xf>
    <xf numFmtId="45" fontId="1" fillId="8" borderId="35" xfId="1" applyNumberFormat="1" applyFill="1" applyBorder="1" applyAlignment="1" applyProtection="1">
      <alignment horizontal="center"/>
    </xf>
    <xf numFmtId="1" fontId="1" fillId="2" borderId="7" xfId="1" applyNumberFormat="1" applyFill="1" applyBorder="1" applyAlignment="1" applyProtection="1">
      <alignment horizontal="center"/>
    </xf>
    <xf numFmtId="0" fontId="4" fillId="0" borderId="0" xfId="0" applyFont="1" applyProtection="1">
      <protection locked="0"/>
    </xf>
    <xf numFmtId="0" fontId="0" fillId="0" borderId="0" xfId="0" applyFill="1" applyProtection="1">
      <protection locked="0"/>
    </xf>
    <xf numFmtId="0" fontId="5" fillId="6" borderId="4" xfId="0" applyFont="1" applyFill="1" applyBorder="1" applyAlignment="1" applyProtection="1">
      <alignment horizontal="center"/>
      <protection locked="0"/>
    </xf>
    <xf numFmtId="9" fontId="5" fillId="6" borderId="4" xfId="0" applyNumberFormat="1" applyFont="1" applyFill="1" applyBorder="1" applyAlignment="1" applyProtection="1">
      <alignment horizontal="center"/>
      <protection locked="0"/>
    </xf>
    <xf numFmtId="0" fontId="5" fillId="5" borderId="4" xfId="0" applyFont="1" applyFill="1" applyBorder="1" applyAlignment="1" applyProtection="1">
      <alignment horizontal="center"/>
      <protection locked="0"/>
    </xf>
    <xf numFmtId="1" fontId="0" fillId="2" borderId="4" xfId="0" applyNumberFormat="1" applyFill="1" applyBorder="1" applyAlignment="1" applyProtection="1">
      <alignment horizontal="center"/>
      <protection locked="0"/>
    </xf>
    <xf numFmtId="1" fontId="0" fillId="3" borderId="4" xfId="0" applyNumberFormat="1" applyFill="1" applyBorder="1" applyAlignment="1" applyProtection="1">
      <alignment horizontal="center"/>
      <protection locked="0"/>
    </xf>
    <xf numFmtId="0" fontId="2" fillId="6" borderId="1" xfId="1" applyFont="1" applyFill="1" applyBorder="1" applyProtection="1">
      <protection locked="0"/>
    </xf>
    <xf numFmtId="0" fontId="2" fillId="6" borderId="36" xfId="1" applyFont="1" applyFill="1" applyBorder="1" applyAlignment="1" applyProtection="1">
      <alignment horizontal="center"/>
      <protection locked="0"/>
    </xf>
    <xf numFmtId="0" fontId="8" fillId="2" borderId="0" xfId="0" applyFont="1" applyFill="1" applyAlignment="1">
      <alignment horizontal="left" vertical="center"/>
    </xf>
    <xf numFmtId="0" fontId="10" fillId="2" borderId="0" xfId="0" applyFont="1" applyFill="1" applyAlignment="1">
      <alignment horizontal="left"/>
    </xf>
    <xf numFmtId="0" fontId="14" fillId="2" borderId="0" xfId="0" applyFont="1" applyFill="1" applyAlignment="1">
      <alignment horizontal="left" vertical="top" wrapText="1"/>
    </xf>
    <xf numFmtId="0" fontId="2" fillId="4" borderId="21" xfId="1" applyFont="1" applyFill="1" applyBorder="1" applyAlignment="1" applyProtection="1">
      <alignment horizontal="center"/>
    </xf>
    <xf numFmtId="0" fontId="2" fillId="4" borderId="16" xfId="1" applyFont="1" applyFill="1" applyBorder="1" applyAlignment="1" applyProtection="1">
      <alignment horizontal="center"/>
    </xf>
    <xf numFmtId="0" fontId="2" fillId="4" borderId="22" xfId="1" applyFont="1" applyFill="1" applyBorder="1" applyAlignment="1" applyProtection="1">
      <alignment horizontal="center"/>
    </xf>
    <xf numFmtId="0" fontId="0" fillId="0" borderId="0" xfId="0" applyAlignment="1" applyProtection="1">
      <alignment vertical="top" wrapText="1"/>
      <protection locked="0"/>
    </xf>
    <xf numFmtId="0" fontId="2" fillId="6" borderId="25" xfId="1" applyFont="1" applyFill="1" applyBorder="1" applyAlignment="1" applyProtection="1">
      <alignment horizontal="center"/>
      <protection locked="0"/>
    </xf>
    <xf numFmtId="0" fontId="2" fillId="6" borderId="27" xfId="1" applyFont="1" applyFill="1" applyBorder="1" applyAlignment="1" applyProtection="1">
      <alignment horizontal="center"/>
      <protection locked="0"/>
    </xf>
    <xf numFmtId="164" fontId="1" fillId="2" borderId="14" xfId="1" applyNumberFormat="1" applyFill="1" applyBorder="1" applyAlignment="1" applyProtection="1">
      <alignment horizontal="center"/>
      <protection locked="0"/>
    </xf>
    <xf numFmtId="164" fontId="1" fillId="2" borderId="15" xfId="1" applyNumberFormat="1" applyFill="1" applyBorder="1" applyAlignment="1" applyProtection="1">
      <alignment horizontal="center"/>
      <protection locked="0"/>
    </xf>
    <xf numFmtId="164" fontId="1" fillId="2" borderId="20" xfId="1" applyNumberFormat="1" applyFill="1" applyBorder="1" applyAlignment="1" applyProtection="1">
      <alignment horizontal="center"/>
      <protection locked="0"/>
    </xf>
    <xf numFmtId="0" fontId="2" fillId="6" borderId="28" xfId="1" applyFont="1" applyFill="1" applyBorder="1" applyAlignment="1" applyProtection="1">
      <alignment horizontal="center"/>
      <protection locked="0"/>
    </xf>
    <xf numFmtId="164" fontId="1" fillId="2" borderId="11" xfId="1" applyNumberFormat="1" applyFill="1" applyBorder="1" applyAlignment="1" applyProtection="1">
      <alignment horizontal="center"/>
      <protection locked="0"/>
    </xf>
    <xf numFmtId="164" fontId="1" fillId="2" borderId="3" xfId="1" applyNumberFormat="1" applyFill="1" applyBorder="1" applyAlignment="1" applyProtection="1">
      <alignment horizontal="center"/>
      <protection locked="0"/>
    </xf>
    <xf numFmtId="164" fontId="1" fillId="2" borderId="6" xfId="1" applyNumberFormat="1" applyFill="1" applyBorder="1" applyAlignment="1" applyProtection="1">
      <alignment horizontal="center"/>
      <protection locked="0"/>
    </xf>
  </cellXfs>
  <cellStyles count="4">
    <cellStyle name="Comma" xfId="3" builtinId="3"/>
    <cellStyle name="Hyperlink" xfId="2" builtinId="8"/>
    <cellStyle name="Normal" xfId="0" builtinId="0"/>
    <cellStyle name="Normal 2" xfId="1"/>
  </cellStyles>
  <dxfs count="7">
    <dxf>
      <numFmt numFmtId="164" formatCode="0.0"/>
      <fill>
        <patternFill patternType="solid">
          <fgColor indexed="64"/>
          <bgColor theme="0" tint="-4.9989318521683403E-2"/>
        </patternFill>
      </fill>
      <alignment horizontal="center" vertical="bottom" textRotation="0" wrapText="0" indent="0" justifyLastLine="0" shrinkToFit="0" readingOrder="0"/>
      <border diagonalUp="0" diagonalDown="0">
        <left/>
        <right/>
        <top style="thin">
          <color auto="1"/>
        </top>
        <bottom style="thin">
          <color auto="1"/>
        </bottom>
        <vertical/>
        <horizontal style="thin">
          <color auto="1"/>
        </horizontal>
      </border>
      <protection locked="0" hidden="0"/>
    </dxf>
    <dxf>
      <font>
        <b val="0"/>
        <i val="0"/>
        <strike val="0"/>
        <condense val="0"/>
        <extend val="0"/>
        <outline val="0"/>
        <shadow val="0"/>
        <u val="none"/>
        <vertAlign val="baseline"/>
        <sz val="10"/>
        <color theme="0"/>
        <name val="Arial"/>
        <scheme val="none"/>
      </font>
      <fill>
        <patternFill patternType="solid">
          <fgColor indexed="64"/>
          <bgColor theme="8" tint="-0.249977111117893"/>
        </patternFill>
      </fill>
      <border diagonalUp="0" diagonalDown="0">
        <left/>
        <right style="medium">
          <color auto="1"/>
        </right>
        <top style="thin">
          <color auto="1"/>
        </top>
        <bottom style="thin">
          <color auto="1"/>
        </bottom>
        <vertical/>
        <horizontal style="thin">
          <color auto="1"/>
        </horizontal>
      </border>
      <protection locked="0" hidden="0"/>
    </dxf>
    <dxf>
      <border>
        <top style="thin">
          <color auto="1"/>
        </top>
      </border>
    </dxf>
    <dxf>
      <border diagonalUp="0" diagonalDown="0">
        <left style="medium">
          <color indexed="64"/>
        </left>
        <right style="medium">
          <color auto="1"/>
        </right>
        <bottom style="medium">
          <color auto="1"/>
        </bottom>
      </border>
    </dxf>
    <dxf>
      <protection locked="0" hidden="0"/>
    </dxf>
    <dxf>
      <border>
        <bottom style="thin">
          <color auto="1"/>
        </bottom>
      </border>
    </dxf>
    <dxf>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s://www.scienceforsport.com/performance-digest-free-sample/" TargetMode="External"/><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10</xdr:col>
      <xdr:colOff>94525</xdr:colOff>
      <xdr:row>3</xdr:row>
      <xdr:rowOff>188334</xdr:rowOff>
    </xdr:from>
    <xdr:to>
      <xdr:col>27</xdr:col>
      <xdr:colOff>515939</xdr:colOff>
      <xdr:row>21</xdr:row>
      <xdr:rowOff>107155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03213" y="807459"/>
          <a:ext cx="11351351" cy="4062196"/>
        </a:xfrm>
        <a:prstGeom prst="rect">
          <a:avLst/>
        </a:prstGeom>
      </xdr:spPr>
    </xdr:pic>
    <xdr:clientData/>
  </xdr:twoCellAnchor>
  <xdr:twoCellAnchor editAs="oneCell">
    <xdr:from>
      <xdr:col>0</xdr:col>
      <xdr:colOff>142874</xdr:colOff>
      <xdr:row>0</xdr:row>
      <xdr:rowOff>166687</xdr:rowOff>
    </xdr:from>
    <xdr:to>
      <xdr:col>3</xdr:col>
      <xdr:colOff>273841</xdr:colOff>
      <xdr:row>3</xdr:row>
      <xdr:rowOff>167912</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2874" y="166687"/>
          <a:ext cx="1559717" cy="629875"/>
        </a:xfrm>
        <a:prstGeom prst="rect">
          <a:avLst/>
        </a:prstGeom>
      </xdr:spPr>
    </xdr:pic>
    <xdr:clientData/>
  </xdr:twoCellAnchor>
  <xdr:twoCellAnchor>
    <xdr:from>
      <xdr:col>1</xdr:col>
      <xdr:colOff>59532</xdr:colOff>
      <xdr:row>16</xdr:row>
      <xdr:rowOff>142875</xdr:rowOff>
    </xdr:from>
    <xdr:to>
      <xdr:col>9</xdr:col>
      <xdr:colOff>392906</xdr:colOff>
      <xdr:row>20</xdr:row>
      <xdr:rowOff>95250</xdr:rowOff>
    </xdr:to>
    <xdr:sp macro="" textlink="">
      <xdr:nvSpPr>
        <xdr:cNvPr id="4" name="TextBox 3">
          <a:hlinkClick xmlns:r="http://schemas.openxmlformats.org/officeDocument/2006/relationships" r:id="rId3"/>
        </xdr:cNvPr>
        <xdr:cNvSpPr txBox="1"/>
      </xdr:nvSpPr>
      <xdr:spPr>
        <a:xfrm>
          <a:off x="269082" y="3905250"/>
          <a:ext cx="5210174" cy="790575"/>
        </a:xfrm>
        <a:prstGeom prst="roundRect">
          <a:avLst/>
        </a:prstGeom>
        <a:solidFill>
          <a:srgbClr val="33E544"/>
        </a:solidFill>
        <a:ln>
          <a:solidFill>
            <a:srgbClr val="33E544"/>
          </a:solidFill>
        </a:ln>
        <a:effectLst>
          <a:outerShdw blurRad="50800" dist="38100" dir="8100000" algn="tr"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wrap="square" rtlCol="0" anchor="ctr" anchorCtr="1"/>
        <a:lstStyle/>
        <a:p>
          <a:r>
            <a:rPr lang="en-GB" sz="1800" b="1">
              <a:solidFill>
                <a:schemeClr val="bg1"/>
              </a:solidFill>
              <a:latin typeface="Segoe UI Light" panose="020B0502040204020203" pitchFamily="34" charset="0"/>
              <a:cs typeface="Segoe UI Light" panose="020B0502040204020203" pitchFamily="34" charset="0"/>
            </a:rPr>
            <a:t>Get</a:t>
          </a:r>
          <a:r>
            <a:rPr lang="en-GB" sz="1800" b="1" baseline="0">
              <a:solidFill>
                <a:schemeClr val="bg1"/>
              </a:solidFill>
              <a:latin typeface="Segoe UI Light" panose="020B0502040204020203" pitchFamily="34" charset="0"/>
              <a:cs typeface="Segoe UI Light" panose="020B0502040204020203" pitchFamily="34" charset="0"/>
            </a:rPr>
            <a:t> your FREE COPY now!</a:t>
          </a:r>
          <a:endParaRPr lang="en-GB" sz="1800" b="1">
            <a:solidFill>
              <a:schemeClr val="bg1"/>
            </a:solidFill>
            <a:latin typeface="Segoe UI Light" panose="020B0502040204020203" pitchFamily="34" charset="0"/>
            <a:cs typeface="Segoe UI Light" panose="020B0502040204020203"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35719</xdr:colOff>
      <xdr:row>0</xdr:row>
      <xdr:rowOff>126552</xdr:rowOff>
    </xdr:from>
    <xdr:to>
      <xdr:col>1</xdr:col>
      <xdr:colOff>1285875</xdr:colOff>
      <xdr:row>3</xdr:row>
      <xdr:rowOff>59461</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3844" y="126552"/>
          <a:ext cx="1250156" cy="5163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23814</xdr:colOff>
      <xdr:row>0</xdr:row>
      <xdr:rowOff>142875</xdr:rowOff>
    </xdr:from>
    <xdr:to>
      <xdr:col>1</xdr:col>
      <xdr:colOff>1273970</xdr:colOff>
      <xdr:row>3</xdr:row>
      <xdr:rowOff>75784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9095" y="142875"/>
          <a:ext cx="1250156" cy="516315"/>
        </a:xfrm>
        <a:prstGeom prst="rect">
          <a:avLst/>
        </a:prstGeom>
      </xdr:spPr>
    </xdr:pic>
    <xdr:clientData/>
  </xdr:twoCellAnchor>
</xdr:wsDr>
</file>

<file path=xl/tables/table1.xml><?xml version="1.0" encoding="utf-8"?>
<table xmlns="http://schemas.openxmlformats.org/spreadsheetml/2006/main" id="2" name="Table2" displayName="Table2" ref="B5:C40" totalsRowShown="0" headerRowDxfId="6" dataDxfId="4" headerRowBorderDxfId="5" tableBorderDxfId="3" totalsRowBorderDxfId="2">
  <autoFilter ref="B5:C40"/>
  <sortState ref="B6:C40">
    <sortCondition descending="1" ref="C5:C40"/>
  </sortState>
  <tableColumns count="2">
    <tableColumn id="1" name="Name " dataDxfId="1" dataCellStyle="Normal 2"/>
    <tableColumn id="2" name="MAS Score (m/s)" dataDxfId="0" dataCellStyle="Normal 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https://www.scienceforsport.com/maximal-aerobic-speed-mas/"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22"/>
  <sheetViews>
    <sheetView showGridLines="0" tabSelected="1" zoomScale="80" zoomScaleNormal="80" workbookViewId="0">
      <selection activeCell="Q41" sqref="Q41"/>
    </sheetView>
  </sheetViews>
  <sheetFormatPr defaultColWidth="9.1796875" defaultRowHeight="16.5" x14ac:dyDescent="0.45"/>
  <cols>
    <col min="1" max="1" width="3.1796875" style="12" customWidth="1"/>
    <col min="2" max="14" width="9.1796875" style="12"/>
    <col min="15" max="15" width="9.1796875" style="12" customWidth="1"/>
    <col min="16" max="16384" width="9.1796875" style="12"/>
  </cols>
  <sheetData>
    <row r="2" spans="2:19" x14ac:dyDescent="0.45">
      <c r="P2" s="71"/>
      <c r="Q2" s="71"/>
      <c r="R2" s="71"/>
      <c r="S2" s="71"/>
    </row>
    <row r="3" spans="2:19" x14ac:dyDescent="0.45">
      <c r="P3" s="71"/>
      <c r="Q3" s="71"/>
      <c r="R3" s="71"/>
      <c r="S3" s="71"/>
    </row>
    <row r="4" spans="2:19" x14ac:dyDescent="0.45">
      <c r="P4" s="71"/>
      <c r="Q4" s="71"/>
      <c r="R4" s="71"/>
      <c r="S4" s="71"/>
    </row>
    <row r="6" spans="2:19" ht="29" x14ac:dyDescent="0.75">
      <c r="B6" s="13" t="s">
        <v>51</v>
      </c>
      <c r="G6" s="72" t="s">
        <v>55</v>
      </c>
      <c r="H6" s="72"/>
      <c r="I6" s="72"/>
      <c r="J6" s="72"/>
      <c r="K6" s="72"/>
      <c r="L6" s="72"/>
      <c r="M6" s="72"/>
      <c r="N6" s="72"/>
      <c r="O6" s="72"/>
      <c r="P6" s="72"/>
      <c r="Q6" s="72"/>
      <c r="R6" s="72"/>
    </row>
    <row r="7" spans="2:19" ht="21" x14ac:dyDescent="0.55000000000000004">
      <c r="B7" s="14" t="s">
        <v>52</v>
      </c>
    </row>
    <row r="9" spans="2:19" ht="25" x14ac:dyDescent="0.7">
      <c r="B9" s="15" t="s">
        <v>56</v>
      </c>
    </row>
    <row r="10" spans="2:19" ht="21" x14ac:dyDescent="0.55000000000000004">
      <c r="B10" s="14" t="s">
        <v>53</v>
      </c>
    </row>
    <row r="12" spans="2:19" ht="17.5" x14ac:dyDescent="0.45">
      <c r="B12" s="16" t="s">
        <v>54</v>
      </c>
      <c r="C12" s="17"/>
      <c r="D12" s="17"/>
      <c r="E12" s="17"/>
      <c r="F12" s="17"/>
      <c r="G12" s="17"/>
      <c r="H12" s="17"/>
      <c r="I12" s="17"/>
      <c r="J12" s="17"/>
    </row>
    <row r="13" spans="2:19" ht="17.5" x14ac:dyDescent="0.45">
      <c r="B13" s="17"/>
      <c r="C13" s="16"/>
      <c r="D13" s="16"/>
      <c r="E13" s="16"/>
      <c r="F13" s="16"/>
      <c r="G13" s="16"/>
      <c r="H13" s="16"/>
      <c r="I13" s="16"/>
      <c r="J13" s="16"/>
    </row>
    <row r="14" spans="2:19" ht="16.5" customHeight="1" x14ac:dyDescent="0.45">
      <c r="B14" s="73" t="s">
        <v>59</v>
      </c>
      <c r="C14" s="73"/>
      <c r="D14" s="73"/>
      <c r="E14" s="73"/>
      <c r="F14" s="73"/>
      <c r="G14" s="73"/>
      <c r="H14" s="73"/>
      <c r="I14" s="73"/>
      <c r="J14" s="73"/>
      <c r="K14" s="73"/>
    </row>
    <row r="15" spans="2:19" ht="16.5" customHeight="1" x14ac:dyDescent="0.45">
      <c r="B15" s="73"/>
      <c r="C15" s="73"/>
      <c r="D15" s="73"/>
      <c r="E15" s="73"/>
      <c r="F15" s="73"/>
      <c r="G15" s="73"/>
      <c r="H15" s="73"/>
      <c r="I15" s="73"/>
      <c r="J15" s="73"/>
      <c r="K15" s="73"/>
    </row>
    <row r="16" spans="2:19" ht="16.5" customHeight="1" x14ac:dyDescent="0.45">
      <c r="B16" s="73"/>
      <c r="C16" s="73"/>
      <c r="D16" s="73"/>
      <c r="E16" s="73"/>
      <c r="F16" s="73"/>
      <c r="G16" s="73"/>
      <c r="H16" s="73"/>
      <c r="I16" s="73"/>
      <c r="J16" s="73"/>
      <c r="K16" s="73"/>
    </row>
    <row r="18" spans="3:3" x14ac:dyDescent="0.45">
      <c r="C18" s="18"/>
    </row>
    <row r="19" spans="3:3" x14ac:dyDescent="0.45">
      <c r="C19" s="18"/>
    </row>
    <row r="22" spans="3:3" x14ac:dyDescent="0.45">
      <c r="C22" s="18"/>
    </row>
  </sheetData>
  <sheetProtection algorithmName="SHA-512" hashValue="IbNFExav0Wp/VLuqeEpQni70u1Iw7LZgpMa6kzBpTDIuV9uwKG9BFJGRwn04tJqf+zjY08waR+Tg/j3n25ZoHA==" saltValue="q+PVW6ywINQmKm+/GWGPDg==" spinCount="100000" sheet="1" objects="1" scenarios="1"/>
  <mergeCells count="3">
    <mergeCell ref="P2:S4"/>
    <mergeCell ref="G6:R6"/>
    <mergeCell ref="B14:K1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40"/>
  <sheetViews>
    <sheetView showGridLines="0" zoomScale="80" zoomScaleNormal="80" workbookViewId="0">
      <selection activeCell="B6" sqref="B6"/>
    </sheetView>
  </sheetViews>
  <sheetFormatPr defaultColWidth="9.1796875" defaultRowHeight="14.5" x14ac:dyDescent="0.35"/>
  <cols>
    <col min="1" max="1" width="4.453125" style="19" customWidth="1"/>
    <col min="2" max="2" width="20" style="19" customWidth="1"/>
    <col min="3" max="5" width="21.81640625" style="20" customWidth="1"/>
    <col min="6" max="7" width="22" style="20" customWidth="1"/>
    <col min="8" max="8" width="24.54296875" style="20" customWidth="1"/>
    <col min="9" max="9" width="16.453125" style="20" customWidth="1"/>
    <col min="10" max="14" width="11" style="20" customWidth="1"/>
    <col min="15" max="18" width="10.81640625" style="20" customWidth="1"/>
    <col min="19" max="16384" width="9.1796875" style="19"/>
  </cols>
  <sheetData>
    <row r="2" spans="2:18" x14ac:dyDescent="0.35">
      <c r="F2" s="21" t="s">
        <v>45</v>
      </c>
      <c r="H2" s="22" t="s">
        <v>46</v>
      </c>
      <c r="I2" s="23" t="s">
        <v>47</v>
      </c>
      <c r="J2" s="24"/>
      <c r="K2" s="24"/>
      <c r="L2" s="24"/>
      <c r="M2" s="24"/>
      <c r="N2" s="24"/>
      <c r="P2" s="25" t="s">
        <v>48</v>
      </c>
    </row>
    <row r="3" spans="2:18" ht="15" thickBot="1" x14ac:dyDescent="0.4">
      <c r="C3" s="43"/>
      <c r="D3" s="43"/>
      <c r="E3" s="43"/>
    </row>
    <row r="4" spans="2:18" ht="15" thickBot="1" x14ac:dyDescent="0.4">
      <c r="B4" s="53"/>
      <c r="C4" s="53"/>
      <c r="D4" s="53"/>
      <c r="E4" s="74" t="s">
        <v>24</v>
      </c>
      <c r="F4" s="75"/>
      <c r="G4" s="75"/>
      <c r="H4" s="75"/>
      <c r="I4" s="76"/>
      <c r="J4" s="74" t="s">
        <v>23</v>
      </c>
      <c r="K4" s="75"/>
      <c r="L4" s="75"/>
      <c r="M4" s="75"/>
      <c r="N4" s="75"/>
      <c r="O4" s="75"/>
      <c r="P4" s="75"/>
      <c r="Q4" s="75"/>
      <c r="R4" s="76"/>
    </row>
    <row r="5" spans="2:18" ht="15" thickBot="1" x14ac:dyDescent="0.4">
      <c r="B5" s="55" t="s">
        <v>0</v>
      </c>
      <c r="C5" s="56" t="s">
        <v>57</v>
      </c>
      <c r="D5" s="57" t="s">
        <v>58</v>
      </c>
      <c r="E5" s="78" t="s">
        <v>20</v>
      </c>
      <c r="F5" s="4" t="s">
        <v>21</v>
      </c>
      <c r="G5" s="79" t="s">
        <v>22</v>
      </c>
      <c r="H5" s="4" t="s">
        <v>41</v>
      </c>
      <c r="I5" s="83" t="s">
        <v>42</v>
      </c>
      <c r="J5" s="26">
        <v>0.5</v>
      </c>
      <c r="K5" s="27">
        <v>0.6</v>
      </c>
      <c r="L5" s="27">
        <v>0.7</v>
      </c>
      <c r="M5" s="28">
        <v>0.8</v>
      </c>
      <c r="N5" s="28">
        <v>0.9</v>
      </c>
      <c r="O5" s="28">
        <v>1</v>
      </c>
      <c r="P5" s="28">
        <v>1.1000000000000001</v>
      </c>
      <c r="Q5" s="28">
        <v>1.2</v>
      </c>
      <c r="R5" s="29">
        <v>1.3</v>
      </c>
    </row>
    <row r="6" spans="2:18" x14ac:dyDescent="0.35">
      <c r="B6" s="5" t="s">
        <v>1</v>
      </c>
      <c r="C6" s="46">
        <v>5</v>
      </c>
      <c r="D6" s="44">
        <v>23</v>
      </c>
      <c r="E6" s="58">
        <f>TIME(0,C6,D6)</f>
        <v>3.7384259259259263E-3</v>
      </c>
      <c r="F6" s="59">
        <f>MINUTE(E6)*60+SECOND(E6)</f>
        <v>323</v>
      </c>
      <c r="G6" s="80">
        <f>1500/F6</f>
        <v>4.643962848297214</v>
      </c>
      <c r="H6" s="6">
        <v>7.3</v>
      </c>
      <c r="I6" s="84">
        <f>H6-G6</f>
        <v>2.6560371517027859</v>
      </c>
      <c r="J6" s="30">
        <f>$G6*0.5</f>
        <v>2.321981424148607</v>
      </c>
      <c r="K6" s="31">
        <f>$G6*0.6</f>
        <v>2.7863777089783284</v>
      </c>
      <c r="L6" s="31">
        <f>$G6*0.7</f>
        <v>3.2507739938080498</v>
      </c>
      <c r="M6" s="32">
        <f>$G6*0.8</f>
        <v>3.7151702786377712</v>
      </c>
      <c r="N6" s="32">
        <f>$G6*0.9</f>
        <v>4.1795665634674926</v>
      </c>
      <c r="O6" s="32">
        <f>$G6*1</f>
        <v>4.643962848297214</v>
      </c>
      <c r="P6" s="32">
        <f>$G6*1.1</f>
        <v>5.1083591331269353</v>
      </c>
      <c r="Q6" s="32">
        <f>$G6*1.2</f>
        <v>5.5727554179566567</v>
      </c>
      <c r="R6" s="33">
        <f>$G6*1.3</f>
        <v>6.0371517027863781</v>
      </c>
    </row>
    <row r="7" spans="2:18" x14ac:dyDescent="0.35">
      <c r="B7" s="7" t="s">
        <v>2</v>
      </c>
      <c r="C7" s="47">
        <v>6</v>
      </c>
      <c r="D7" s="45">
        <v>43</v>
      </c>
      <c r="E7" s="58">
        <f t="shared" ref="E7:E40" si="0">TIME(0,C7,D7)</f>
        <v>4.6643518518518518E-3</v>
      </c>
      <c r="F7" s="59">
        <f t="shared" ref="F7:F40" si="1">MINUTE(E7)*60+SECOND(E7)</f>
        <v>403</v>
      </c>
      <c r="G7" s="81">
        <f t="shared" ref="G7:G40" si="2">1500/F7</f>
        <v>3.7220843672456576</v>
      </c>
      <c r="H7" s="8">
        <v>7.6</v>
      </c>
      <c r="I7" s="85">
        <f t="shared" ref="I7:I40" si="3">H7-G7</f>
        <v>3.877915632754342</v>
      </c>
      <c r="J7" s="34">
        <f t="shared" ref="J7:J40" si="4">$G7*0.5</f>
        <v>1.8610421836228288</v>
      </c>
      <c r="K7" s="35">
        <f t="shared" ref="K7:K40" si="5">$G7*0.6</f>
        <v>2.2332506203473943</v>
      </c>
      <c r="L7" s="35">
        <f t="shared" ref="L7:L40" si="6">$G7*0.7</f>
        <v>2.6054590570719602</v>
      </c>
      <c r="M7" s="36">
        <f t="shared" ref="M7:M40" si="7">$G7*0.8</f>
        <v>2.9776674937965262</v>
      </c>
      <c r="N7" s="36">
        <f t="shared" ref="N7:N40" si="8">$G7*0.9</f>
        <v>3.3498759305210921</v>
      </c>
      <c r="O7" s="36">
        <f t="shared" ref="O7:O40" si="9">$G7*1</f>
        <v>3.7220843672456576</v>
      </c>
      <c r="P7" s="36">
        <f t="shared" ref="P7:P40" si="10">$G7*1.1</f>
        <v>4.094292803970224</v>
      </c>
      <c r="Q7" s="36">
        <f t="shared" ref="Q7:Q40" si="11">$G7*1.2</f>
        <v>4.4665012406947886</v>
      </c>
      <c r="R7" s="37">
        <f t="shared" ref="R7:R40" si="12">$G7*1.3</f>
        <v>4.838709677419355</v>
      </c>
    </row>
    <row r="8" spans="2:18" x14ac:dyDescent="0.35">
      <c r="B8" s="7" t="s">
        <v>4</v>
      </c>
      <c r="C8" s="47">
        <v>5</v>
      </c>
      <c r="D8" s="45">
        <v>25</v>
      </c>
      <c r="E8" s="58">
        <f t="shared" si="0"/>
        <v>3.7615740740740739E-3</v>
      </c>
      <c r="F8" s="59">
        <f t="shared" si="1"/>
        <v>325</v>
      </c>
      <c r="G8" s="81">
        <f t="shared" si="2"/>
        <v>4.615384615384615</v>
      </c>
      <c r="H8" s="8">
        <v>8.1</v>
      </c>
      <c r="I8" s="85">
        <f t="shared" si="3"/>
        <v>3.4846153846153847</v>
      </c>
      <c r="J8" s="34">
        <f t="shared" si="4"/>
        <v>2.3076923076923075</v>
      </c>
      <c r="K8" s="35">
        <f t="shared" si="5"/>
        <v>2.7692307692307687</v>
      </c>
      <c r="L8" s="35">
        <f t="shared" si="6"/>
        <v>3.2307692307692304</v>
      </c>
      <c r="M8" s="36">
        <f t="shared" si="7"/>
        <v>3.6923076923076921</v>
      </c>
      <c r="N8" s="36">
        <f t="shared" si="8"/>
        <v>4.1538461538461533</v>
      </c>
      <c r="O8" s="36">
        <f t="shared" si="9"/>
        <v>4.615384615384615</v>
      </c>
      <c r="P8" s="36">
        <f t="shared" si="10"/>
        <v>5.0769230769230766</v>
      </c>
      <c r="Q8" s="36">
        <f t="shared" si="11"/>
        <v>5.5384615384615374</v>
      </c>
      <c r="R8" s="37">
        <f t="shared" si="12"/>
        <v>6</v>
      </c>
    </row>
    <row r="9" spans="2:18" x14ac:dyDescent="0.35">
      <c r="B9" s="7" t="s">
        <v>5</v>
      </c>
      <c r="C9" s="47">
        <v>6</v>
      </c>
      <c r="D9" s="45">
        <v>15</v>
      </c>
      <c r="E9" s="58">
        <f t="shared" si="0"/>
        <v>4.340277777777778E-3</v>
      </c>
      <c r="F9" s="59">
        <f t="shared" si="1"/>
        <v>375</v>
      </c>
      <c r="G9" s="81">
        <f t="shared" si="2"/>
        <v>4</v>
      </c>
      <c r="H9" s="8">
        <v>7.1</v>
      </c>
      <c r="I9" s="85">
        <f t="shared" si="3"/>
        <v>3.0999999999999996</v>
      </c>
      <c r="J9" s="34">
        <f t="shared" si="4"/>
        <v>2</v>
      </c>
      <c r="K9" s="35">
        <f t="shared" si="5"/>
        <v>2.4</v>
      </c>
      <c r="L9" s="35">
        <f t="shared" si="6"/>
        <v>2.8</v>
      </c>
      <c r="M9" s="36">
        <f t="shared" si="7"/>
        <v>3.2</v>
      </c>
      <c r="N9" s="36">
        <f t="shared" si="8"/>
        <v>3.6</v>
      </c>
      <c r="O9" s="36">
        <f t="shared" si="9"/>
        <v>4</v>
      </c>
      <c r="P9" s="36">
        <f t="shared" si="10"/>
        <v>4.4000000000000004</v>
      </c>
      <c r="Q9" s="36">
        <f t="shared" si="11"/>
        <v>4.8</v>
      </c>
      <c r="R9" s="37">
        <f t="shared" si="12"/>
        <v>5.2</v>
      </c>
    </row>
    <row r="10" spans="2:18" x14ac:dyDescent="0.35">
      <c r="B10" s="7" t="s">
        <v>6</v>
      </c>
      <c r="C10" s="47">
        <v>3</v>
      </c>
      <c r="D10" s="45">
        <v>19</v>
      </c>
      <c r="E10" s="58">
        <f t="shared" si="0"/>
        <v>2.3032407407407407E-3</v>
      </c>
      <c r="F10" s="59">
        <f t="shared" si="1"/>
        <v>199</v>
      </c>
      <c r="G10" s="81">
        <f t="shared" si="2"/>
        <v>7.5376884422110555</v>
      </c>
      <c r="H10" s="8">
        <v>7</v>
      </c>
      <c r="I10" s="85">
        <f t="shared" si="3"/>
        <v>-0.5376884422110555</v>
      </c>
      <c r="J10" s="34">
        <f t="shared" si="4"/>
        <v>3.7688442211055277</v>
      </c>
      <c r="K10" s="35">
        <f t="shared" si="5"/>
        <v>4.5226130653266328</v>
      </c>
      <c r="L10" s="35">
        <f t="shared" si="6"/>
        <v>5.2763819095477382</v>
      </c>
      <c r="M10" s="36">
        <f t="shared" si="7"/>
        <v>6.0301507537688446</v>
      </c>
      <c r="N10" s="36">
        <f t="shared" si="8"/>
        <v>6.78391959798995</v>
      </c>
      <c r="O10" s="36">
        <f t="shared" si="9"/>
        <v>7.5376884422110555</v>
      </c>
      <c r="P10" s="36">
        <f t="shared" si="10"/>
        <v>8.291457286432161</v>
      </c>
      <c r="Q10" s="36">
        <f t="shared" si="11"/>
        <v>9.0452261306532655</v>
      </c>
      <c r="R10" s="37">
        <f t="shared" si="12"/>
        <v>9.7989949748743719</v>
      </c>
    </row>
    <row r="11" spans="2:18" x14ac:dyDescent="0.35">
      <c r="B11" s="7" t="s">
        <v>3</v>
      </c>
      <c r="C11" s="47">
        <v>6</v>
      </c>
      <c r="D11" s="45">
        <v>43</v>
      </c>
      <c r="E11" s="58">
        <f t="shared" si="0"/>
        <v>4.6643518518518518E-3</v>
      </c>
      <c r="F11" s="59">
        <f t="shared" si="1"/>
        <v>403</v>
      </c>
      <c r="G11" s="81">
        <f t="shared" si="2"/>
        <v>3.7220843672456576</v>
      </c>
      <c r="H11" s="8">
        <v>7.4</v>
      </c>
      <c r="I11" s="85">
        <f t="shared" si="3"/>
        <v>3.6779156327543427</v>
      </c>
      <c r="J11" s="34">
        <f t="shared" si="4"/>
        <v>1.8610421836228288</v>
      </c>
      <c r="K11" s="35">
        <f t="shared" si="5"/>
        <v>2.2332506203473943</v>
      </c>
      <c r="L11" s="35">
        <f t="shared" si="6"/>
        <v>2.6054590570719602</v>
      </c>
      <c r="M11" s="36">
        <f t="shared" si="7"/>
        <v>2.9776674937965262</v>
      </c>
      <c r="N11" s="36">
        <f t="shared" si="8"/>
        <v>3.3498759305210921</v>
      </c>
      <c r="O11" s="36">
        <f t="shared" si="9"/>
        <v>3.7220843672456576</v>
      </c>
      <c r="P11" s="36">
        <f t="shared" si="10"/>
        <v>4.094292803970224</v>
      </c>
      <c r="Q11" s="36">
        <f t="shared" si="11"/>
        <v>4.4665012406947886</v>
      </c>
      <c r="R11" s="37">
        <f t="shared" si="12"/>
        <v>4.838709677419355</v>
      </c>
    </row>
    <row r="12" spans="2:18" x14ac:dyDescent="0.35">
      <c r="B12" s="7" t="s">
        <v>7</v>
      </c>
      <c r="C12" s="47">
        <v>6</v>
      </c>
      <c r="D12" s="45">
        <v>17</v>
      </c>
      <c r="E12" s="58">
        <f t="shared" si="0"/>
        <v>4.363425925925926E-3</v>
      </c>
      <c r="F12" s="59">
        <f t="shared" si="1"/>
        <v>377</v>
      </c>
      <c r="G12" s="81">
        <f t="shared" si="2"/>
        <v>3.9787798408488064</v>
      </c>
      <c r="H12" s="8">
        <v>7.1866666666666701</v>
      </c>
      <c r="I12" s="85">
        <f t="shared" si="3"/>
        <v>3.2078868258178637</v>
      </c>
      <c r="J12" s="34">
        <f t="shared" si="4"/>
        <v>1.9893899204244032</v>
      </c>
      <c r="K12" s="35">
        <f t="shared" si="5"/>
        <v>2.3872679045092839</v>
      </c>
      <c r="L12" s="35">
        <f t="shared" si="6"/>
        <v>2.7851458885941645</v>
      </c>
      <c r="M12" s="36">
        <f t="shared" si="7"/>
        <v>3.1830238726790454</v>
      </c>
      <c r="N12" s="36">
        <f t="shared" si="8"/>
        <v>3.5809018567639259</v>
      </c>
      <c r="O12" s="36">
        <f t="shared" si="9"/>
        <v>3.9787798408488064</v>
      </c>
      <c r="P12" s="36">
        <f t="shared" si="10"/>
        <v>4.3766578249336874</v>
      </c>
      <c r="Q12" s="36">
        <f t="shared" si="11"/>
        <v>4.7745358090185679</v>
      </c>
      <c r="R12" s="37">
        <f t="shared" si="12"/>
        <v>5.1724137931034484</v>
      </c>
    </row>
    <row r="13" spans="2:18" x14ac:dyDescent="0.35">
      <c r="B13" s="7" t="s">
        <v>8</v>
      </c>
      <c r="C13" s="47">
        <v>6</v>
      </c>
      <c r="D13" s="45">
        <v>35</v>
      </c>
      <c r="E13" s="58">
        <f t="shared" si="0"/>
        <v>4.5717592592592589E-3</v>
      </c>
      <c r="F13" s="59">
        <f t="shared" si="1"/>
        <v>395</v>
      </c>
      <c r="G13" s="81">
        <f t="shared" si="2"/>
        <v>3.7974683544303796</v>
      </c>
      <c r="H13" s="8">
        <v>7.1209523809523798</v>
      </c>
      <c r="I13" s="85">
        <f t="shared" si="3"/>
        <v>3.3234840265220003</v>
      </c>
      <c r="J13" s="34">
        <f t="shared" si="4"/>
        <v>1.8987341772151898</v>
      </c>
      <c r="K13" s="35">
        <f t="shared" si="5"/>
        <v>2.2784810126582276</v>
      </c>
      <c r="L13" s="35">
        <f t="shared" si="6"/>
        <v>2.6582278481012653</v>
      </c>
      <c r="M13" s="36">
        <f t="shared" si="7"/>
        <v>3.037974683544304</v>
      </c>
      <c r="N13" s="36">
        <f t="shared" si="8"/>
        <v>3.4177215189873418</v>
      </c>
      <c r="O13" s="36">
        <f t="shared" si="9"/>
        <v>3.7974683544303796</v>
      </c>
      <c r="P13" s="36">
        <f t="shared" si="10"/>
        <v>4.1772151898734178</v>
      </c>
      <c r="Q13" s="36">
        <f t="shared" si="11"/>
        <v>4.5569620253164551</v>
      </c>
      <c r="R13" s="37">
        <f t="shared" si="12"/>
        <v>4.9367088607594933</v>
      </c>
    </row>
    <row r="14" spans="2:18" x14ac:dyDescent="0.35">
      <c r="B14" s="7" t="s">
        <v>9</v>
      </c>
      <c r="C14" s="47">
        <v>5</v>
      </c>
      <c r="D14" s="45">
        <v>45</v>
      </c>
      <c r="E14" s="58">
        <f t="shared" si="0"/>
        <v>3.9930555555555561E-3</v>
      </c>
      <c r="F14" s="59">
        <f t="shared" si="1"/>
        <v>345</v>
      </c>
      <c r="G14" s="81">
        <f t="shared" si="2"/>
        <v>4.3478260869565215</v>
      </c>
      <c r="H14" s="8">
        <v>7.0552380952381002</v>
      </c>
      <c r="I14" s="85">
        <f t="shared" si="3"/>
        <v>2.7074120082815787</v>
      </c>
      <c r="J14" s="34">
        <f t="shared" si="4"/>
        <v>2.1739130434782608</v>
      </c>
      <c r="K14" s="35">
        <f t="shared" si="5"/>
        <v>2.6086956521739126</v>
      </c>
      <c r="L14" s="35">
        <f t="shared" si="6"/>
        <v>3.043478260869565</v>
      </c>
      <c r="M14" s="36">
        <f t="shared" si="7"/>
        <v>3.4782608695652173</v>
      </c>
      <c r="N14" s="36">
        <f t="shared" si="8"/>
        <v>3.9130434782608696</v>
      </c>
      <c r="O14" s="36">
        <f t="shared" si="9"/>
        <v>4.3478260869565215</v>
      </c>
      <c r="P14" s="36">
        <f t="shared" si="10"/>
        <v>4.7826086956521738</v>
      </c>
      <c r="Q14" s="36">
        <f t="shared" si="11"/>
        <v>5.2173913043478253</v>
      </c>
      <c r="R14" s="37">
        <f t="shared" si="12"/>
        <v>5.6521739130434785</v>
      </c>
    </row>
    <row r="15" spans="2:18" x14ac:dyDescent="0.35">
      <c r="B15" s="7" t="s">
        <v>10</v>
      </c>
      <c r="C15" s="47">
        <v>6</v>
      </c>
      <c r="D15" s="45">
        <v>20</v>
      </c>
      <c r="E15" s="58">
        <f t="shared" si="0"/>
        <v>4.3981481481481484E-3</v>
      </c>
      <c r="F15" s="59">
        <f t="shared" si="1"/>
        <v>380</v>
      </c>
      <c r="G15" s="81">
        <f t="shared" si="2"/>
        <v>3.9473684210526314</v>
      </c>
      <c r="H15" s="8">
        <v>6.9895238095238099</v>
      </c>
      <c r="I15" s="85">
        <f t="shared" si="3"/>
        <v>3.0421553884711785</v>
      </c>
      <c r="J15" s="34">
        <f t="shared" si="4"/>
        <v>1.9736842105263157</v>
      </c>
      <c r="K15" s="35">
        <f t="shared" si="5"/>
        <v>2.3684210526315788</v>
      </c>
      <c r="L15" s="35">
        <f t="shared" si="6"/>
        <v>2.763157894736842</v>
      </c>
      <c r="M15" s="36">
        <f t="shared" si="7"/>
        <v>3.1578947368421053</v>
      </c>
      <c r="N15" s="36">
        <f t="shared" si="8"/>
        <v>3.5526315789473681</v>
      </c>
      <c r="O15" s="36">
        <f t="shared" si="9"/>
        <v>3.9473684210526314</v>
      </c>
      <c r="P15" s="36">
        <f t="shared" si="10"/>
        <v>4.3421052631578947</v>
      </c>
      <c r="Q15" s="36">
        <f t="shared" si="11"/>
        <v>4.7368421052631575</v>
      </c>
      <c r="R15" s="37">
        <f t="shared" si="12"/>
        <v>5.1315789473684212</v>
      </c>
    </row>
    <row r="16" spans="2:18" x14ac:dyDescent="0.35">
      <c r="B16" s="7" t="s">
        <v>11</v>
      </c>
      <c r="C16" s="47">
        <v>5</v>
      </c>
      <c r="D16" s="45">
        <v>0</v>
      </c>
      <c r="E16" s="58">
        <f t="shared" si="0"/>
        <v>3.472222222222222E-3</v>
      </c>
      <c r="F16" s="59">
        <f t="shared" si="1"/>
        <v>300</v>
      </c>
      <c r="G16" s="81">
        <f t="shared" si="2"/>
        <v>5</v>
      </c>
      <c r="H16" s="8">
        <v>6.9238095238095196</v>
      </c>
      <c r="I16" s="85">
        <f t="shared" si="3"/>
        <v>1.9238095238095196</v>
      </c>
      <c r="J16" s="34">
        <f t="shared" si="4"/>
        <v>2.5</v>
      </c>
      <c r="K16" s="35">
        <f t="shared" si="5"/>
        <v>3</v>
      </c>
      <c r="L16" s="35">
        <f t="shared" si="6"/>
        <v>3.5</v>
      </c>
      <c r="M16" s="36">
        <f t="shared" si="7"/>
        <v>4</v>
      </c>
      <c r="N16" s="36">
        <f t="shared" si="8"/>
        <v>4.5</v>
      </c>
      <c r="O16" s="36">
        <f t="shared" si="9"/>
        <v>5</v>
      </c>
      <c r="P16" s="36">
        <f t="shared" si="10"/>
        <v>5.5</v>
      </c>
      <c r="Q16" s="36">
        <f t="shared" si="11"/>
        <v>6</v>
      </c>
      <c r="R16" s="37">
        <f t="shared" si="12"/>
        <v>6.5</v>
      </c>
    </row>
    <row r="17" spans="2:18" x14ac:dyDescent="0.35">
      <c r="B17" s="7" t="s">
        <v>12</v>
      </c>
      <c r="C17" s="47">
        <v>5</v>
      </c>
      <c r="D17" s="45">
        <v>47</v>
      </c>
      <c r="E17" s="58">
        <f t="shared" si="0"/>
        <v>4.0162037037037033E-3</v>
      </c>
      <c r="F17" s="59">
        <f t="shared" si="1"/>
        <v>347</v>
      </c>
      <c r="G17" s="81">
        <f t="shared" si="2"/>
        <v>4.3227665706051877</v>
      </c>
      <c r="H17" s="8">
        <v>7.3</v>
      </c>
      <c r="I17" s="85">
        <f t="shared" si="3"/>
        <v>2.9772334293948122</v>
      </c>
      <c r="J17" s="34">
        <f t="shared" si="4"/>
        <v>2.1613832853025938</v>
      </c>
      <c r="K17" s="35">
        <f t="shared" si="5"/>
        <v>2.5936599423631126</v>
      </c>
      <c r="L17" s="35">
        <f t="shared" si="6"/>
        <v>3.0259365994236314</v>
      </c>
      <c r="M17" s="36">
        <f t="shared" si="7"/>
        <v>3.4582132564841501</v>
      </c>
      <c r="N17" s="36">
        <f t="shared" si="8"/>
        <v>3.8904899135446689</v>
      </c>
      <c r="O17" s="36">
        <f t="shared" si="9"/>
        <v>4.3227665706051877</v>
      </c>
      <c r="P17" s="36">
        <f t="shared" si="10"/>
        <v>4.7550432276657064</v>
      </c>
      <c r="Q17" s="36">
        <f t="shared" si="11"/>
        <v>5.1873198847262252</v>
      </c>
      <c r="R17" s="37">
        <f t="shared" si="12"/>
        <v>5.6195965417867439</v>
      </c>
    </row>
    <row r="18" spans="2:18" x14ac:dyDescent="0.35">
      <c r="B18" s="7" t="s">
        <v>13</v>
      </c>
      <c r="C18" s="47">
        <v>6</v>
      </c>
      <c r="D18" s="45">
        <v>0</v>
      </c>
      <c r="E18" s="58">
        <f t="shared" si="0"/>
        <v>4.1666666666666666E-3</v>
      </c>
      <c r="F18" s="59">
        <f t="shared" si="1"/>
        <v>360</v>
      </c>
      <c r="G18" s="81">
        <f t="shared" si="2"/>
        <v>4.166666666666667</v>
      </c>
      <c r="H18" s="8">
        <v>7.6</v>
      </c>
      <c r="I18" s="85">
        <f t="shared" si="3"/>
        <v>3.4333333333333327</v>
      </c>
      <c r="J18" s="34">
        <f t="shared" si="4"/>
        <v>2.0833333333333335</v>
      </c>
      <c r="K18" s="35">
        <f t="shared" si="5"/>
        <v>2.5</v>
      </c>
      <c r="L18" s="35">
        <f t="shared" si="6"/>
        <v>2.9166666666666665</v>
      </c>
      <c r="M18" s="36">
        <f t="shared" si="7"/>
        <v>3.3333333333333339</v>
      </c>
      <c r="N18" s="36">
        <f t="shared" si="8"/>
        <v>3.7500000000000004</v>
      </c>
      <c r="O18" s="36">
        <f t="shared" si="9"/>
        <v>4.166666666666667</v>
      </c>
      <c r="P18" s="36">
        <f t="shared" si="10"/>
        <v>4.5833333333333339</v>
      </c>
      <c r="Q18" s="36">
        <f t="shared" si="11"/>
        <v>5</v>
      </c>
      <c r="R18" s="37">
        <f t="shared" si="12"/>
        <v>5.416666666666667</v>
      </c>
    </row>
    <row r="19" spans="2:18" x14ac:dyDescent="0.35">
      <c r="B19" s="7" t="s">
        <v>14</v>
      </c>
      <c r="C19" s="47">
        <v>5</v>
      </c>
      <c r="D19" s="45">
        <v>20</v>
      </c>
      <c r="E19" s="58">
        <f t="shared" si="0"/>
        <v>3.7037037037037034E-3</v>
      </c>
      <c r="F19" s="59">
        <f t="shared" si="1"/>
        <v>320</v>
      </c>
      <c r="G19" s="81">
        <f t="shared" si="2"/>
        <v>4.6875</v>
      </c>
      <c r="H19" s="8">
        <v>8.1</v>
      </c>
      <c r="I19" s="85">
        <f t="shared" si="3"/>
        <v>3.4124999999999996</v>
      </c>
      <c r="J19" s="34">
        <f t="shared" si="4"/>
        <v>2.34375</v>
      </c>
      <c r="K19" s="35">
        <f t="shared" si="5"/>
        <v>2.8125</v>
      </c>
      <c r="L19" s="35">
        <f t="shared" si="6"/>
        <v>3.28125</v>
      </c>
      <c r="M19" s="36">
        <f t="shared" si="7"/>
        <v>3.75</v>
      </c>
      <c r="N19" s="36">
        <f t="shared" si="8"/>
        <v>4.21875</v>
      </c>
      <c r="O19" s="36">
        <f t="shared" si="9"/>
        <v>4.6875</v>
      </c>
      <c r="P19" s="36">
        <f t="shared" si="10"/>
        <v>5.15625</v>
      </c>
      <c r="Q19" s="36">
        <f t="shared" si="11"/>
        <v>5.625</v>
      </c>
      <c r="R19" s="37">
        <f t="shared" si="12"/>
        <v>6.09375</v>
      </c>
    </row>
    <row r="20" spans="2:18" x14ac:dyDescent="0.35">
      <c r="B20" s="7" t="s">
        <v>15</v>
      </c>
      <c r="C20" s="47">
        <v>6</v>
      </c>
      <c r="D20" s="45">
        <v>15</v>
      </c>
      <c r="E20" s="58">
        <f t="shared" si="0"/>
        <v>4.340277777777778E-3</v>
      </c>
      <c r="F20" s="59">
        <f t="shared" si="1"/>
        <v>375</v>
      </c>
      <c r="G20" s="81">
        <f t="shared" si="2"/>
        <v>4</v>
      </c>
      <c r="H20" s="8">
        <v>7.1</v>
      </c>
      <c r="I20" s="85">
        <f t="shared" si="3"/>
        <v>3.0999999999999996</v>
      </c>
      <c r="J20" s="34">
        <f t="shared" si="4"/>
        <v>2</v>
      </c>
      <c r="K20" s="35">
        <f t="shared" si="5"/>
        <v>2.4</v>
      </c>
      <c r="L20" s="35">
        <f t="shared" si="6"/>
        <v>2.8</v>
      </c>
      <c r="M20" s="36">
        <f t="shared" si="7"/>
        <v>3.2</v>
      </c>
      <c r="N20" s="36">
        <f t="shared" si="8"/>
        <v>3.6</v>
      </c>
      <c r="O20" s="36">
        <f t="shared" si="9"/>
        <v>4</v>
      </c>
      <c r="P20" s="36">
        <f t="shared" si="10"/>
        <v>4.4000000000000004</v>
      </c>
      <c r="Q20" s="36">
        <f t="shared" si="11"/>
        <v>4.8</v>
      </c>
      <c r="R20" s="37">
        <f t="shared" si="12"/>
        <v>5.2</v>
      </c>
    </row>
    <row r="21" spans="2:18" x14ac:dyDescent="0.35">
      <c r="B21" s="7" t="s">
        <v>16</v>
      </c>
      <c r="C21" s="47">
        <v>6</v>
      </c>
      <c r="D21" s="45">
        <v>21</v>
      </c>
      <c r="E21" s="58">
        <f t="shared" si="0"/>
        <v>4.409722222222222E-3</v>
      </c>
      <c r="F21" s="59">
        <f t="shared" si="1"/>
        <v>381</v>
      </c>
      <c r="G21" s="81">
        <f t="shared" si="2"/>
        <v>3.9370078740157481</v>
      </c>
      <c r="H21" s="8">
        <v>7</v>
      </c>
      <c r="I21" s="85">
        <f t="shared" si="3"/>
        <v>3.0629921259842519</v>
      </c>
      <c r="J21" s="34">
        <f t="shared" si="4"/>
        <v>1.9685039370078741</v>
      </c>
      <c r="K21" s="35">
        <f t="shared" si="5"/>
        <v>2.3622047244094486</v>
      </c>
      <c r="L21" s="35">
        <f t="shared" si="6"/>
        <v>2.7559055118110236</v>
      </c>
      <c r="M21" s="36">
        <f t="shared" si="7"/>
        <v>3.1496062992125986</v>
      </c>
      <c r="N21" s="36">
        <f t="shared" si="8"/>
        <v>3.5433070866141736</v>
      </c>
      <c r="O21" s="36">
        <f t="shared" si="9"/>
        <v>3.9370078740157481</v>
      </c>
      <c r="P21" s="36">
        <f t="shared" si="10"/>
        <v>4.3307086614173231</v>
      </c>
      <c r="Q21" s="36">
        <f t="shared" si="11"/>
        <v>4.7244094488188972</v>
      </c>
      <c r="R21" s="37">
        <f t="shared" si="12"/>
        <v>5.1181102362204731</v>
      </c>
    </row>
    <row r="22" spans="2:18" x14ac:dyDescent="0.35">
      <c r="B22" s="7" t="s">
        <v>17</v>
      </c>
      <c r="C22" s="47">
        <v>5</v>
      </c>
      <c r="D22" s="45">
        <v>39</v>
      </c>
      <c r="E22" s="58">
        <f t="shared" si="0"/>
        <v>3.9236111111111112E-3</v>
      </c>
      <c r="F22" s="59">
        <f t="shared" si="1"/>
        <v>339</v>
      </c>
      <c r="G22" s="81">
        <f t="shared" si="2"/>
        <v>4.4247787610619467</v>
      </c>
      <c r="H22" s="8">
        <v>7.4</v>
      </c>
      <c r="I22" s="85">
        <f t="shared" si="3"/>
        <v>2.9752212389380537</v>
      </c>
      <c r="J22" s="34">
        <f t="shared" si="4"/>
        <v>2.2123893805309733</v>
      </c>
      <c r="K22" s="35">
        <f t="shared" si="5"/>
        <v>2.6548672566371678</v>
      </c>
      <c r="L22" s="35">
        <f t="shared" si="6"/>
        <v>3.0973451327433623</v>
      </c>
      <c r="M22" s="36">
        <f t="shared" si="7"/>
        <v>3.5398230088495577</v>
      </c>
      <c r="N22" s="36">
        <f t="shared" si="8"/>
        <v>3.9823008849557522</v>
      </c>
      <c r="O22" s="36">
        <f t="shared" si="9"/>
        <v>4.4247787610619467</v>
      </c>
      <c r="P22" s="36">
        <f t="shared" si="10"/>
        <v>4.8672566371681416</v>
      </c>
      <c r="Q22" s="36">
        <f t="shared" si="11"/>
        <v>5.3097345132743357</v>
      </c>
      <c r="R22" s="37">
        <f t="shared" si="12"/>
        <v>5.7522123893805306</v>
      </c>
    </row>
    <row r="23" spans="2:18" x14ac:dyDescent="0.35">
      <c r="B23" s="7" t="s">
        <v>18</v>
      </c>
      <c r="C23" s="47">
        <v>6</v>
      </c>
      <c r="D23" s="45">
        <v>1</v>
      </c>
      <c r="E23" s="58">
        <f t="shared" si="0"/>
        <v>4.1782407407407402E-3</v>
      </c>
      <c r="F23" s="59">
        <f t="shared" si="1"/>
        <v>361</v>
      </c>
      <c r="G23" s="81">
        <f t="shared" si="2"/>
        <v>4.1551246537396125</v>
      </c>
      <c r="H23" s="8">
        <v>7.1866666666666701</v>
      </c>
      <c r="I23" s="85">
        <f t="shared" si="3"/>
        <v>3.0315420129270576</v>
      </c>
      <c r="J23" s="34">
        <f t="shared" si="4"/>
        <v>2.0775623268698062</v>
      </c>
      <c r="K23" s="35">
        <f t="shared" si="5"/>
        <v>2.4930747922437675</v>
      </c>
      <c r="L23" s="35">
        <f t="shared" si="6"/>
        <v>2.9085872576177287</v>
      </c>
      <c r="M23" s="36">
        <f t="shared" si="7"/>
        <v>3.32409972299169</v>
      </c>
      <c r="N23" s="36">
        <f t="shared" si="8"/>
        <v>3.7396121883656512</v>
      </c>
      <c r="O23" s="36">
        <f t="shared" si="9"/>
        <v>4.1551246537396125</v>
      </c>
      <c r="P23" s="36">
        <f t="shared" si="10"/>
        <v>4.5706371191135737</v>
      </c>
      <c r="Q23" s="36">
        <f t="shared" si="11"/>
        <v>4.986149584487535</v>
      </c>
      <c r="R23" s="37">
        <f t="shared" si="12"/>
        <v>5.4016620498614962</v>
      </c>
    </row>
    <row r="24" spans="2:18" x14ac:dyDescent="0.35">
      <c r="B24" s="7" t="s">
        <v>19</v>
      </c>
      <c r="C24" s="47">
        <v>6</v>
      </c>
      <c r="D24" s="45">
        <v>50</v>
      </c>
      <c r="E24" s="58">
        <f t="shared" si="0"/>
        <v>4.7453703703703703E-3</v>
      </c>
      <c r="F24" s="59">
        <f t="shared" si="1"/>
        <v>410</v>
      </c>
      <c r="G24" s="81">
        <f t="shared" si="2"/>
        <v>3.6585365853658538</v>
      </c>
      <c r="H24" s="8">
        <v>7.1209523809523798</v>
      </c>
      <c r="I24" s="85">
        <f t="shared" si="3"/>
        <v>3.462415795586526</v>
      </c>
      <c r="J24" s="34">
        <f t="shared" si="4"/>
        <v>1.8292682926829269</v>
      </c>
      <c r="K24" s="35">
        <f t="shared" si="5"/>
        <v>2.1951219512195124</v>
      </c>
      <c r="L24" s="35">
        <f t="shared" si="6"/>
        <v>2.5609756097560976</v>
      </c>
      <c r="M24" s="36">
        <f t="shared" si="7"/>
        <v>2.9268292682926833</v>
      </c>
      <c r="N24" s="36">
        <f t="shared" si="8"/>
        <v>3.2926829268292686</v>
      </c>
      <c r="O24" s="36">
        <f t="shared" si="9"/>
        <v>3.6585365853658538</v>
      </c>
      <c r="P24" s="36">
        <f t="shared" si="10"/>
        <v>4.0243902439024399</v>
      </c>
      <c r="Q24" s="36">
        <f t="shared" si="11"/>
        <v>4.3902439024390247</v>
      </c>
      <c r="R24" s="37">
        <f t="shared" si="12"/>
        <v>4.7560975609756104</v>
      </c>
    </row>
    <row r="25" spans="2:18" x14ac:dyDescent="0.35">
      <c r="B25" s="7" t="s">
        <v>25</v>
      </c>
      <c r="C25" s="47">
        <v>5</v>
      </c>
      <c r="D25" s="45">
        <v>20</v>
      </c>
      <c r="E25" s="58">
        <f t="shared" si="0"/>
        <v>3.7037037037037034E-3</v>
      </c>
      <c r="F25" s="59">
        <f t="shared" si="1"/>
        <v>320</v>
      </c>
      <c r="G25" s="81">
        <f t="shared" si="2"/>
        <v>4.6875</v>
      </c>
      <c r="H25" s="8">
        <v>7.0552380952381002</v>
      </c>
      <c r="I25" s="85">
        <f t="shared" si="3"/>
        <v>2.3677380952381002</v>
      </c>
      <c r="J25" s="34">
        <f t="shared" si="4"/>
        <v>2.34375</v>
      </c>
      <c r="K25" s="35">
        <f t="shared" si="5"/>
        <v>2.8125</v>
      </c>
      <c r="L25" s="35">
        <f t="shared" si="6"/>
        <v>3.28125</v>
      </c>
      <c r="M25" s="36">
        <f t="shared" si="7"/>
        <v>3.75</v>
      </c>
      <c r="N25" s="36">
        <f t="shared" si="8"/>
        <v>4.21875</v>
      </c>
      <c r="O25" s="36">
        <f t="shared" si="9"/>
        <v>4.6875</v>
      </c>
      <c r="P25" s="36">
        <f t="shared" si="10"/>
        <v>5.15625</v>
      </c>
      <c r="Q25" s="36">
        <f t="shared" si="11"/>
        <v>5.625</v>
      </c>
      <c r="R25" s="37">
        <f t="shared" si="12"/>
        <v>6.09375</v>
      </c>
    </row>
    <row r="26" spans="2:18" x14ac:dyDescent="0.35">
      <c r="B26" s="7" t="s">
        <v>26</v>
      </c>
      <c r="C26" s="47">
        <v>6</v>
      </c>
      <c r="D26" s="45">
        <v>19</v>
      </c>
      <c r="E26" s="58">
        <f t="shared" si="0"/>
        <v>4.386574074074074E-3</v>
      </c>
      <c r="F26" s="59">
        <f t="shared" si="1"/>
        <v>379</v>
      </c>
      <c r="G26" s="81">
        <f t="shared" si="2"/>
        <v>3.9577836411609497</v>
      </c>
      <c r="H26" s="8">
        <v>6.9895238095238099</v>
      </c>
      <c r="I26" s="85">
        <f t="shared" si="3"/>
        <v>3.0317401683628602</v>
      </c>
      <c r="J26" s="34">
        <f t="shared" si="4"/>
        <v>1.9788918205804749</v>
      </c>
      <c r="K26" s="35">
        <f t="shared" si="5"/>
        <v>2.3746701846965697</v>
      </c>
      <c r="L26" s="35">
        <f t="shared" si="6"/>
        <v>2.7704485488126647</v>
      </c>
      <c r="M26" s="36">
        <f t="shared" si="7"/>
        <v>3.1662269129287601</v>
      </c>
      <c r="N26" s="36">
        <f t="shared" si="8"/>
        <v>3.5620052770448547</v>
      </c>
      <c r="O26" s="36">
        <f t="shared" si="9"/>
        <v>3.9577836411609497</v>
      </c>
      <c r="P26" s="36">
        <f t="shared" si="10"/>
        <v>4.3535620052770447</v>
      </c>
      <c r="Q26" s="36">
        <f t="shared" si="11"/>
        <v>4.7493403693931393</v>
      </c>
      <c r="R26" s="37">
        <f t="shared" si="12"/>
        <v>5.1451187335092348</v>
      </c>
    </row>
    <row r="27" spans="2:18" x14ac:dyDescent="0.35">
      <c r="B27" s="7" t="s">
        <v>27</v>
      </c>
      <c r="C27" s="47">
        <v>6</v>
      </c>
      <c r="D27" s="45">
        <v>43</v>
      </c>
      <c r="E27" s="58">
        <f t="shared" si="0"/>
        <v>4.6643518518518518E-3</v>
      </c>
      <c r="F27" s="59">
        <f t="shared" si="1"/>
        <v>403</v>
      </c>
      <c r="G27" s="81">
        <f t="shared" si="2"/>
        <v>3.7220843672456576</v>
      </c>
      <c r="H27" s="8">
        <v>6.9238095238095196</v>
      </c>
      <c r="I27" s="85">
        <f t="shared" si="3"/>
        <v>3.201725156563862</v>
      </c>
      <c r="J27" s="34">
        <f t="shared" si="4"/>
        <v>1.8610421836228288</v>
      </c>
      <c r="K27" s="35">
        <f t="shared" si="5"/>
        <v>2.2332506203473943</v>
      </c>
      <c r="L27" s="35">
        <f t="shared" si="6"/>
        <v>2.6054590570719602</v>
      </c>
      <c r="M27" s="36">
        <f t="shared" si="7"/>
        <v>2.9776674937965262</v>
      </c>
      <c r="N27" s="36">
        <f t="shared" si="8"/>
        <v>3.3498759305210921</v>
      </c>
      <c r="O27" s="36">
        <f t="shared" si="9"/>
        <v>3.7220843672456576</v>
      </c>
      <c r="P27" s="36">
        <f t="shared" si="10"/>
        <v>4.094292803970224</v>
      </c>
      <c r="Q27" s="36">
        <f t="shared" si="11"/>
        <v>4.4665012406947886</v>
      </c>
      <c r="R27" s="37">
        <f t="shared" si="12"/>
        <v>4.838709677419355</v>
      </c>
    </row>
    <row r="28" spans="2:18" x14ac:dyDescent="0.35">
      <c r="B28" s="7" t="s">
        <v>28</v>
      </c>
      <c r="C28" s="47">
        <v>6</v>
      </c>
      <c r="D28" s="45">
        <v>17</v>
      </c>
      <c r="E28" s="58">
        <f t="shared" si="0"/>
        <v>4.363425925925926E-3</v>
      </c>
      <c r="F28" s="59">
        <f t="shared" si="1"/>
        <v>377</v>
      </c>
      <c r="G28" s="81">
        <f t="shared" si="2"/>
        <v>3.9787798408488064</v>
      </c>
      <c r="H28" s="8">
        <v>7.3</v>
      </c>
      <c r="I28" s="85">
        <f t="shared" si="3"/>
        <v>3.3212201591511934</v>
      </c>
      <c r="J28" s="34">
        <f t="shared" si="4"/>
        <v>1.9893899204244032</v>
      </c>
      <c r="K28" s="35">
        <f t="shared" si="5"/>
        <v>2.3872679045092839</v>
      </c>
      <c r="L28" s="35">
        <f t="shared" si="6"/>
        <v>2.7851458885941645</v>
      </c>
      <c r="M28" s="36">
        <f t="shared" si="7"/>
        <v>3.1830238726790454</v>
      </c>
      <c r="N28" s="36">
        <f t="shared" si="8"/>
        <v>3.5809018567639259</v>
      </c>
      <c r="O28" s="36">
        <f t="shared" si="9"/>
        <v>3.9787798408488064</v>
      </c>
      <c r="P28" s="36">
        <f t="shared" si="10"/>
        <v>4.3766578249336874</v>
      </c>
      <c r="Q28" s="36">
        <f t="shared" si="11"/>
        <v>4.7745358090185679</v>
      </c>
      <c r="R28" s="37">
        <f t="shared" si="12"/>
        <v>5.1724137931034484</v>
      </c>
    </row>
    <row r="29" spans="2:18" x14ac:dyDescent="0.35">
      <c r="B29" s="7" t="s">
        <v>29</v>
      </c>
      <c r="C29" s="47">
        <v>5</v>
      </c>
      <c r="D29" s="45">
        <v>35</v>
      </c>
      <c r="E29" s="58">
        <f t="shared" si="0"/>
        <v>3.8773148148148143E-3</v>
      </c>
      <c r="F29" s="59">
        <f t="shared" si="1"/>
        <v>335</v>
      </c>
      <c r="G29" s="81">
        <f t="shared" si="2"/>
        <v>4.4776119402985071</v>
      </c>
      <c r="H29" s="8">
        <v>7.6</v>
      </c>
      <c r="I29" s="85">
        <f t="shared" si="3"/>
        <v>3.1223880597014926</v>
      </c>
      <c r="J29" s="34">
        <f t="shared" si="4"/>
        <v>2.2388059701492535</v>
      </c>
      <c r="K29" s="35">
        <f t="shared" si="5"/>
        <v>2.6865671641791042</v>
      </c>
      <c r="L29" s="35">
        <f t="shared" si="6"/>
        <v>3.1343283582089549</v>
      </c>
      <c r="M29" s="36">
        <f t="shared" si="7"/>
        <v>3.5820895522388057</v>
      </c>
      <c r="N29" s="36">
        <f t="shared" si="8"/>
        <v>4.0298507462686564</v>
      </c>
      <c r="O29" s="36">
        <f t="shared" si="9"/>
        <v>4.4776119402985071</v>
      </c>
      <c r="P29" s="36">
        <f t="shared" si="10"/>
        <v>4.9253731343283578</v>
      </c>
      <c r="Q29" s="36">
        <f t="shared" si="11"/>
        <v>5.3731343283582085</v>
      </c>
      <c r="R29" s="37">
        <f t="shared" si="12"/>
        <v>5.8208955223880592</v>
      </c>
    </row>
    <row r="30" spans="2:18" x14ac:dyDescent="0.35">
      <c r="B30" s="7" t="s">
        <v>30</v>
      </c>
      <c r="C30" s="47">
        <v>6</v>
      </c>
      <c r="D30" s="45">
        <v>19</v>
      </c>
      <c r="E30" s="58">
        <f t="shared" si="0"/>
        <v>4.386574074074074E-3</v>
      </c>
      <c r="F30" s="59">
        <f t="shared" si="1"/>
        <v>379</v>
      </c>
      <c r="G30" s="81">
        <f t="shared" si="2"/>
        <v>3.9577836411609497</v>
      </c>
      <c r="H30" s="8">
        <v>8.1</v>
      </c>
      <c r="I30" s="85">
        <f t="shared" si="3"/>
        <v>4.1422163588390504</v>
      </c>
      <c r="J30" s="34">
        <f t="shared" si="4"/>
        <v>1.9788918205804749</v>
      </c>
      <c r="K30" s="35">
        <f t="shared" si="5"/>
        <v>2.3746701846965697</v>
      </c>
      <c r="L30" s="35">
        <f t="shared" si="6"/>
        <v>2.7704485488126647</v>
      </c>
      <c r="M30" s="36">
        <f t="shared" si="7"/>
        <v>3.1662269129287601</v>
      </c>
      <c r="N30" s="36">
        <f t="shared" si="8"/>
        <v>3.5620052770448547</v>
      </c>
      <c r="O30" s="36">
        <f t="shared" si="9"/>
        <v>3.9577836411609497</v>
      </c>
      <c r="P30" s="36">
        <f t="shared" si="10"/>
        <v>4.3535620052770447</v>
      </c>
      <c r="Q30" s="36">
        <f t="shared" si="11"/>
        <v>4.7493403693931393</v>
      </c>
      <c r="R30" s="37">
        <f t="shared" si="12"/>
        <v>5.1451187335092348</v>
      </c>
    </row>
    <row r="31" spans="2:18" x14ac:dyDescent="0.35">
      <c r="B31" s="7" t="s">
        <v>31</v>
      </c>
      <c r="C31" s="47">
        <v>6</v>
      </c>
      <c r="D31" s="45">
        <v>43</v>
      </c>
      <c r="E31" s="58">
        <f t="shared" si="0"/>
        <v>4.6643518518518518E-3</v>
      </c>
      <c r="F31" s="59">
        <f t="shared" si="1"/>
        <v>403</v>
      </c>
      <c r="G31" s="81">
        <f t="shared" si="2"/>
        <v>3.7220843672456576</v>
      </c>
      <c r="H31" s="8">
        <v>7.1</v>
      </c>
      <c r="I31" s="85">
        <f t="shared" si="3"/>
        <v>3.377915632754342</v>
      </c>
      <c r="J31" s="34">
        <f t="shared" si="4"/>
        <v>1.8610421836228288</v>
      </c>
      <c r="K31" s="35">
        <f t="shared" si="5"/>
        <v>2.2332506203473943</v>
      </c>
      <c r="L31" s="35">
        <f t="shared" si="6"/>
        <v>2.6054590570719602</v>
      </c>
      <c r="M31" s="36">
        <f t="shared" si="7"/>
        <v>2.9776674937965262</v>
      </c>
      <c r="N31" s="36">
        <f t="shared" si="8"/>
        <v>3.3498759305210921</v>
      </c>
      <c r="O31" s="36">
        <f t="shared" si="9"/>
        <v>3.7220843672456576</v>
      </c>
      <c r="P31" s="36">
        <f t="shared" si="10"/>
        <v>4.094292803970224</v>
      </c>
      <c r="Q31" s="36">
        <f t="shared" si="11"/>
        <v>4.4665012406947886</v>
      </c>
      <c r="R31" s="37">
        <f t="shared" si="12"/>
        <v>4.838709677419355</v>
      </c>
    </row>
    <row r="32" spans="2:18" x14ac:dyDescent="0.35">
      <c r="B32" s="7" t="s">
        <v>32</v>
      </c>
      <c r="C32" s="47">
        <v>6</v>
      </c>
      <c r="D32" s="45">
        <v>17</v>
      </c>
      <c r="E32" s="58">
        <f t="shared" si="0"/>
        <v>4.363425925925926E-3</v>
      </c>
      <c r="F32" s="59">
        <f t="shared" si="1"/>
        <v>377</v>
      </c>
      <c r="G32" s="81">
        <f t="shared" si="2"/>
        <v>3.9787798408488064</v>
      </c>
      <c r="H32" s="8">
        <v>7</v>
      </c>
      <c r="I32" s="85">
        <f t="shared" si="3"/>
        <v>3.0212201591511936</v>
      </c>
      <c r="J32" s="34">
        <f t="shared" si="4"/>
        <v>1.9893899204244032</v>
      </c>
      <c r="K32" s="35">
        <f t="shared" si="5"/>
        <v>2.3872679045092839</v>
      </c>
      <c r="L32" s="35">
        <f t="shared" si="6"/>
        <v>2.7851458885941645</v>
      </c>
      <c r="M32" s="36">
        <f t="shared" si="7"/>
        <v>3.1830238726790454</v>
      </c>
      <c r="N32" s="36">
        <f t="shared" si="8"/>
        <v>3.5809018567639259</v>
      </c>
      <c r="O32" s="36">
        <f t="shared" si="9"/>
        <v>3.9787798408488064</v>
      </c>
      <c r="P32" s="36">
        <f t="shared" si="10"/>
        <v>4.3766578249336874</v>
      </c>
      <c r="Q32" s="36">
        <f t="shared" si="11"/>
        <v>4.7745358090185679</v>
      </c>
      <c r="R32" s="37">
        <f t="shared" si="12"/>
        <v>5.1724137931034484</v>
      </c>
    </row>
    <row r="33" spans="2:18" x14ac:dyDescent="0.35">
      <c r="B33" s="7" t="s">
        <v>33</v>
      </c>
      <c r="C33" s="47">
        <v>5</v>
      </c>
      <c r="D33" s="45">
        <v>35</v>
      </c>
      <c r="E33" s="58">
        <f t="shared" si="0"/>
        <v>3.8773148148148143E-3</v>
      </c>
      <c r="F33" s="59">
        <f t="shared" si="1"/>
        <v>335</v>
      </c>
      <c r="G33" s="81">
        <f t="shared" si="2"/>
        <v>4.4776119402985071</v>
      </c>
      <c r="H33" s="8">
        <v>7.4</v>
      </c>
      <c r="I33" s="85">
        <f t="shared" si="3"/>
        <v>2.9223880597014933</v>
      </c>
      <c r="J33" s="34">
        <f t="shared" si="4"/>
        <v>2.2388059701492535</v>
      </c>
      <c r="K33" s="35">
        <f t="shared" si="5"/>
        <v>2.6865671641791042</v>
      </c>
      <c r="L33" s="35">
        <f t="shared" si="6"/>
        <v>3.1343283582089549</v>
      </c>
      <c r="M33" s="36">
        <f t="shared" si="7"/>
        <v>3.5820895522388057</v>
      </c>
      <c r="N33" s="36">
        <f t="shared" si="8"/>
        <v>4.0298507462686564</v>
      </c>
      <c r="O33" s="36">
        <f t="shared" si="9"/>
        <v>4.4776119402985071</v>
      </c>
      <c r="P33" s="36">
        <f t="shared" si="10"/>
        <v>4.9253731343283578</v>
      </c>
      <c r="Q33" s="36">
        <f t="shared" si="11"/>
        <v>5.3731343283582085</v>
      </c>
      <c r="R33" s="37">
        <f t="shared" si="12"/>
        <v>5.8208955223880592</v>
      </c>
    </row>
    <row r="34" spans="2:18" x14ac:dyDescent="0.35">
      <c r="B34" s="7" t="s">
        <v>34</v>
      </c>
      <c r="C34" s="47">
        <v>5</v>
      </c>
      <c r="D34" s="45">
        <v>45</v>
      </c>
      <c r="E34" s="58">
        <f t="shared" si="0"/>
        <v>3.9930555555555561E-3</v>
      </c>
      <c r="F34" s="59">
        <f t="shared" si="1"/>
        <v>345</v>
      </c>
      <c r="G34" s="81">
        <f t="shared" si="2"/>
        <v>4.3478260869565215</v>
      </c>
      <c r="H34" s="8">
        <v>7.1866666666666701</v>
      </c>
      <c r="I34" s="85">
        <f t="shared" si="3"/>
        <v>2.8388405797101486</v>
      </c>
      <c r="J34" s="34">
        <f t="shared" si="4"/>
        <v>2.1739130434782608</v>
      </c>
      <c r="K34" s="35">
        <f t="shared" si="5"/>
        <v>2.6086956521739126</v>
      </c>
      <c r="L34" s="35">
        <f t="shared" si="6"/>
        <v>3.043478260869565</v>
      </c>
      <c r="M34" s="36">
        <f t="shared" si="7"/>
        <v>3.4782608695652173</v>
      </c>
      <c r="N34" s="36">
        <f t="shared" si="8"/>
        <v>3.9130434782608696</v>
      </c>
      <c r="O34" s="36">
        <f t="shared" si="9"/>
        <v>4.3478260869565215</v>
      </c>
      <c r="P34" s="36">
        <f t="shared" si="10"/>
        <v>4.7826086956521738</v>
      </c>
      <c r="Q34" s="36">
        <f t="shared" si="11"/>
        <v>5.2173913043478253</v>
      </c>
      <c r="R34" s="37">
        <f t="shared" si="12"/>
        <v>5.6521739130434785</v>
      </c>
    </row>
    <row r="35" spans="2:18" x14ac:dyDescent="0.35">
      <c r="B35" s="7" t="s">
        <v>35</v>
      </c>
      <c r="C35" s="47">
        <v>6</v>
      </c>
      <c r="D35" s="45">
        <v>20</v>
      </c>
      <c r="E35" s="58">
        <f t="shared" si="0"/>
        <v>4.3981481481481484E-3</v>
      </c>
      <c r="F35" s="59">
        <f t="shared" si="1"/>
        <v>380</v>
      </c>
      <c r="G35" s="81">
        <f t="shared" si="2"/>
        <v>3.9473684210526314</v>
      </c>
      <c r="H35" s="8">
        <v>7.1209523809523798</v>
      </c>
      <c r="I35" s="85">
        <f t="shared" si="3"/>
        <v>3.1735839598997484</v>
      </c>
      <c r="J35" s="34">
        <f t="shared" si="4"/>
        <v>1.9736842105263157</v>
      </c>
      <c r="K35" s="35">
        <f t="shared" si="5"/>
        <v>2.3684210526315788</v>
      </c>
      <c r="L35" s="35">
        <f t="shared" si="6"/>
        <v>2.763157894736842</v>
      </c>
      <c r="M35" s="36">
        <f t="shared" si="7"/>
        <v>3.1578947368421053</v>
      </c>
      <c r="N35" s="36">
        <f t="shared" si="8"/>
        <v>3.5526315789473681</v>
      </c>
      <c r="O35" s="36">
        <f t="shared" si="9"/>
        <v>3.9473684210526314</v>
      </c>
      <c r="P35" s="36">
        <f t="shared" si="10"/>
        <v>4.3421052631578947</v>
      </c>
      <c r="Q35" s="36">
        <f t="shared" si="11"/>
        <v>4.7368421052631575</v>
      </c>
      <c r="R35" s="37">
        <f t="shared" si="12"/>
        <v>5.1315789473684212</v>
      </c>
    </row>
    <row r="36" spans="2:18" x14ac:dyDescent="0.35">
      <c r="B36" s="7" t="s">
        <v>36</v>
      </c>
      <c r="C36" s="47">
        <v>5</v>
      </c>
      <c r="D36" s="45">
        <v>49</v>
      </c>
      <c r="E36" s="58">
        <f t="shared" si="0"/>
        <v>4.0393518518518521E-3</v>
      </c>
      <c r="F36" s="59">
        <f t="shared" si="1"/>
        <v>349</v>
      </c>
      <c r="G36" s="81">
        <f t="shared" si="2"/>
        <v>4.2979942693409745</v>
      </c>
      <c r="H36" s="8">
        <v>7.0552380952381002</v>
      </c>
      <c r="I36" s="85">
        <f t="shared" si="3"/>
        <v>2.7572438258971257</v>
      </c>
      <c r="J36" s="34">
        <f t="shared" si="4"/>
        <v>2.1489971346704873</v>
      </c>
      <c r="K36" s="35">
        <f t="shared" si="5"/>
        <v>2.5787965616045847</v>
      </c>
      <c r="L36" s="35">
        <f t="shared" si="6"/>
        <v>3.0085959885386822</v>
      </c>
      <c r="M36" s="36">
        <f t="shared" si="7"/>
        <v>3.4383954154727796</v>
      </c>
      <c r="N36" s="36">
        <f t="shared" si="8"/>
        <v>3.8681948424068771</v>
      </c>
      <c r="O36" s="36">
        <f t="shared" si="9"/>
        <v>4.2979942693409745</v>
      </c>
      <c r="P36" s="36">
        <f t="shared" si="10"/>
        <v>4.7277936962750724</v>
      </c>
      <c r="Q36" s="36">
        <f t="shared" si="11"/>
        <v>5.1575931232091694</v>
      </c>
      <c r="R36" s="37">
        <f t="shared" si="12"/>
        <v>5.5873925501432673</v>
      </c>
    </row>
    <row r="37" spans="2:18" x14ac:dyDescent="0.35">
      <c r="B37" s="7" t="s">
        <v>37</v>
      </c>
      <c r="C37" s="47">
        <v>5</v>
      </c>
      <c r="D37" s="45">
        <v>47</v>
      </c>
      <c r="E37" s="58">
        <f t="shared" si="0"/>
        <v>4.0162037037037033E-3</v>
      </c>
      <c r="F37" s="59">
        <f t="shared" si="1"/>
        <v>347</v>
      </c>
      <c r="G37" s="81">
        <f t="shared" si="2"/>
        <v>4.3227665706051877</v>
      </c>
      <c r="H37" s="8">
        <v>6.9895238095238099</v>
      </c>
      <c r="I37" s="85">
        <f t="shared" si="3"/>
        <v>2.6667572389186223</v>
      </c>
      <c r="J37" s="34">
        <f t="shared" si="4"/>
        <v>2.1613832853025938</v>
      </c>
      <c r="K37" s="35">
        <f t="shared" si="5"/>
        <v>2.5936599423631126</v>
      </c>
      <c r="L37" s="35">
        <f t="shared" si="6"/>
        <v>3.0259365994236314</v>
      </c>
      <c r="M37" s="36">
        <f t="shared" si="7"/>
        <v>3.4582132564841501</v>
      </c>
      <c r="N37" s="36">
        <f t="shared" si="8"/>
        <v>3.8904899135446689</v>
      </c>
      <c r="O37" s="36">
        <f t="shared" si="9"/>
        <v>4.3227665706051877</v>
      </c>
      <c r="P37" s="36">
        <f t="shared" si="10"/>
        <v>4.7550432276657064</v>
      </c>
      <c r="Q37" s="36">
        <f t="shared" si="11"/>
        <v>5.1873198847262252</v>
      </c>
      <c r="R37" s="37">
        <f t="shared" si="12"/>
        <v>5.6195965417867439</v>
      </c>
    </row>
    <row r="38" spans="2:18" x14ac:dyDescent="0.35">
      <c r="B38" s="7" t="s">
        <v>38</v>
      </c>
      <c r="C38" s="47">
        <v>6</v>
      </c>
      <c r="D38" s="45">
        <v>0</v>
      </c>
      <c r="E38" s="58">
        <f t="shared" si="0"/>
        <v>4.1666666666666666E-3</v>
      </c>
      <c r="F38" s="59">
        <f t="shared" si="1"/>
        <v>360</v>
      </c>
      <c r="G38" s="81">
        <f t="shared" si="2"/>
        <v>4.166666666666667</v>
      </c>
      <c r="H38" s="8">
        <v>6.9238095238095196</v>
      </c>
      <c r="I38" s="85">
        <f t="shared" si="3"/>
        <v>2.7571428571428527</v>
      </c>
      <c r="J38" s="34">
        <f t="shared" si="4"/>
        <v>2.0833333333333335</v>
      </c>
      <c r="K38" s="35">
        <f t="shared" si="5"/>
        <v>2.5</v>
      </c>
      <c r="L38" s="35">
        <f t="shared" si="6"/>
        <v>2.9166666666666665</v>
      </c>
      <c r="M38" s="36">
        <f t="shared" si="7"/>
        <v>3.3333333333333339</v>
      </c>
      <c r="N38" s="36">
        <f t="shared" si="8"/>
        <v>3.7500000000000004</v>
      </c>
      <c r="O38" s="36">
        <f t="shared" si="9"/>
        <v>4.166666666666667</v>
      </c>
      <c r="P38" s="36">
        <f t="shared" si="10"/>
        <v>4.5833333333333339</v>
      </c>
      <c r="Q38" s="36">
        <f t="shared" si="11"/>
        <v>5</v>
      </c>
      <c r="R38" s="37">
        <f t="shared" si="12"/>
        <v>5.416666666666667</v>
      </c>
    </row>
    <row r="39" spans="2:18" x14ac:dyDescent="0.35">
      <c r="B39" s="7" t="s">
        <v>39</v>
      </c>
      <c r="C39" s="47">
        <v>5</v>
      </c>
      <c r="D39" s="45">
        <v>20</v>
      </c>
      <c r="E39" s="58">
        <f t="shared" si="0"/>
        <v>3.7037037037037034E-3</v>
      </c>
      <c r="F39" s="59">
        <f t="shared" si="1"/>
        <v>320</v>
      </c>
      <c r="G39" s="81">
        <f t="shared" si="2"/>
        <v>4.6875</v>
      </c>
      <c r="H39" s="9">
        <v>7.4</v>
      </c>
      <c r="I39" s="85">
        <f t="shared" si="3"/>
        <v>2.7125000000000004</v>
      </c>
      <c r="J39" s="34">
        <f t="shared" si="4"/>
        <v>2.34375</v>
      </c>
      <c r="K39" s="35">
        <f t="shared" si="5"/>
        <v>2.8125</v>
      </c>
      <c r="L39" s="35">
        <f t="shared" si="6"/>
        <v>3.28125</v>
      </c>
      <c r="M39" s="36">
        <f t="shared" si="7"/>
        <v>3.75</v>
      </c>
      <c r="N39" s="36">
        <f t="shared" si="8"/>
        <v>4.21875</v>
      </c>
      <c r="O39" s="36">
        <f t="shared" si="9"/>
        <v>4.6875</v>
      </c>
      <c r="P39" s="36">
        <f t="shared" si="10"/>
        <v>5.15625</v>
      </c>
      <c r="Q39" s="36">
        <f t="shared" si="11"/>
        <v>5.625</v>
      </c>
      <c r="R39" s="37">
        <f t="shared" si="12"/>
        <v>6.09375</v>
      </c>
    </row>
    <row r="40" spans="2:18" ht="15" thickBot="1" x14ac:dyDescent="0.4">
      <c r="B40" s="10" t="s">
        <v>40</v>
      </c>
      <c r="C40" s="48">
        <v>6</v>
      </c>
      <c r="D40" s="54">
        <v>15</v>
      </c>
      <c r="E40" s="60">
        <f t="shared" si="0"/>
        <v>4.340277777777778E-3</v>
      </c>
      <c r="F40" s="61">
        <f t="shared" si="1"/>
        <v>375</v>
      </c>
      <c r="G40" s="82">
        <f t="shared" si="2"/>
        <v>4</v>
      </c>
      <c r="H40" s="11">
        <v>7.7</v>
      </c>
      <c r="I40" s="86">
        <f t="shared" si="3"/>
        <v>3.7</v>
      </c>
      <c r="J40" s="38">
        <f t="shared" si="4"/>
        <v>2</v>
      </c>
      <c r="K40" s="39">
        <f t="shared" si="5"/>
        <v>2.4</v>
      </c>
      <c r="L40" s="39">
        <f t="shared" si="6"/>
        <v>2.8</v>
      </c>
      <c r="M40" s="40">
        <f t="shared" si="7"/>
        <v>3.2</v>
      </c>
      <c r="N40" s="40">
        <f t="shared" si="8"/>
        <v>3.6</v>
      </c>
      <c r="O40" s="40">
        <f t="shared" si="9"/>
        <v>4</v>
      </c>
      <c r="P40" s="40">
        <f t="shared" si="10"/>
        <v>4.4000000000000004</v>
      </c>
      <c r="Q40" s="40">
        <f t="shared" si="11"/>
        <v>4.8</v>
      </c>
      <c r="R40" s="41">
        <f t="shared" si="12"/>
        <v>5.2</v>
      </c>
    </row>
  </sheetData>
  <sheetProtection algorithmName="SHA-512" hashValue="yhZDr8iL2BhqINqNbmCCfnCyUkBb1djDKLntRFxbsUAQwTXbDtINVui75+UtBXBPS0pixl75Vq/emsv8BiCy2Q==" saltValue="8UIrGUTWVge9dVi4udzRvw==" spinCount="100000" sheet="1" objects="1" scenarios="1"/>
  <mergeCells count="2">
    <mergeCell ref="J4:R4"/>
    <mergeCell ref="E4:I4"/>
  </mergeCells>
  <hyperlinks>
    <hyperlink ref="I2" r:id="rId1"/>
  </hyperlinks>
  <pageMargins left="0.7" right="0.7" top="0.75" bottom="0.75" header="0.3" footer="0.3"/>
  <pageSetup paperSize="9" orientation="portrait" r:id="rId2"/>
  <ignoredErrors>
    <ignoredError sqref="E6 E7:E40 F6:F40 G6:G40 I6:I40" unlockedFormula="1"/>
  </ignoredError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O40"/>
  <sheetViews>
    <sheetView showGridLines="0" zoomScale="80" zoomScaleNormal="80" workbookViewId="0">
      <selection activeCell="J28" sqref="J28"/>
    </sheetView>
  </sheetViews>
  <sheetFormatPr defaultColWidth="9.1796875" defaultRowHeight="14.5" x14ac:dyDescent="0.35"/>
  <cols>
    <col min="1" max="1" width="4.453125" style="1" customWidth="1"/>
    <col min="2" max="2" width="20" style="1" customWidth="1"/>
    <col min="3" max="3" width="25.453125" style="1" customWidth="1"/>
    <col min="4" max="5" width="9.1796875" style="1"/>
    <col min="6" max="6" width="9.1796875" style="1" customWidth="1"/>
    <col min="7" max="16384" width="9.1796875" style="1"/>
  </cols>
  <sheetData>
    <row r="3" spans="2:15" ht="15" thickBot="1" x14ac:dyDescent="0.4"/>
    <row r="4" spans="2:15" ht="15" thickBot="1" x14ac:dyDescent="0.4">
      <c r="B4" s="3"/>
      <c r="C4" s="42" t="s">
        <v>24</v>
      </c>
      <c r="E4" s="77" t="s">
        <v>50</v>
      </c>
      <c r="F4" s="77"/>
      <c r="G4" s="77"/>
      <c r="H4" s="77"/>
      <c r="I4" s="77"/>
      <c r="J4" s="77"/>
      <c r="K4" s="77"/>
      <c r="L4" s="77"/>
      <c r="M4" s="77"/>
      <c r="N4" s="77"/>
      <c r="O4" s="77"/>
    </row>
    <row r="5" spans="2:15" x14ac:dyDescent="0.35">
      <c r="B5" s="69" t="s">
        <v>0</v>
      </c>
      <c r="C5" s="70" t="s">
        <v>22</v>
      </c>
      <c r="E5" s="77"/>
      <c r="F5" s="77"/>
      <c r="G5" s="77"/>
      <c r="H5" s="77"/>
      <c r="I5" s="77"/>
      <c r="J5" s="77"/>
      <c r="K5" s="77"/>
      <c r="L5" s="77"/>
      <c r="M5" s="77"/>
      <c r="N5" s="77"/>
      <c r="O5" s="77"/>
    </row>
    <row r="6" spans="2:15" x14ac:dyDescent="0.35">
      <c r="B6" s="49" t="str">
        <f>'Test Scores'!B10</f>
        <v>Athlete 5</v>
      </c>
      <c r="C6" s="50">
        <f>'Test Scores'!G10</f>
        <v>7.5376884422110555</v>
      </c>
      <c r="E6" s="77"/>
      <c r="F6" s="77"/>
      <c r="G6" s="77"/>
      <c r="H6" s="77"/>
      <c r="I6" s="77"/>
      <c r="J6" s="77"/>
      <c r="K6" s="77"/>
      <c r="L6" s="77"/>
      <c r="M6" s="77"/>
      <c r="N6" s="77"/>
      <c r="O6" s="77"/>
    </row>
    <row r="7" spans="2:15" x14ac:dyDescent="0.35">
      <c r="B7" s="49" t="str">
        <f>'Test Scores'!B16</f>
        <v>Athlete 11</v>
      </c>
      <c r="C7" s="50">
        <f>'Test Scores'!G16</f>
        <v>5</v>
      </c>
    </row>
    <row r="8" spans="2:15" x14ac:dyDescent="0.35">
      <c r="B8" s="49" t="str">
        <f>'Test Scores'!B19</f>
        <v>Athlete 14</v>
      </c>
      <c r="C8" s="50">
        <f>'Test Scores'!G19</f>
        <v>4.6875</v>
      </c>
      <c r="E8" s="62" t="s">
        <v>49</v>
      </c>
      <c r="K8" s="2">
        <v>4.5</v>
      </c>
    </row>
    <row r="9" spans="2:15" x14ac:dyDescent="0.35">
      <c r="B9" s="49" t="str">
        <f>'Test Scores'!B25</f>
        <v>Athlete 20</v>
      </c>
      <c r="C9" s="50">
        <f>'Test Scores'!G25</f>
        <v>4.6875</v>
      </c>
      <c r="E9" s="62"/>
      <c r="I9" s="63"/>
    </row>
    <row r="10" spans="2:15" x14ac:dyDescent="0.35">
      <c r="B10" s="49" t="str">
        <f>'Test Scores'!B39</f>
        <v>Athlete 34</v>
      </c>
      <c r="C10" s="50">
        <f>'Test Scores'!G39</f>
        <v>4.6875</v>
      </c>
      <c r="E10" s="62" t="s">
        <v>43</v>
      </c>
    </row>
    <row r="11" spans="2:15" x14ac:dyDescent="0.35">
      <c r="B11" s="49" t="str">
        <f>'Test Scores'!B6</f>
        <v xml:space="preserve">Athlete 1 </v>
      </c>
      <c r="C11" s="50">
        <f>'Test Scores'!G6</f>
        <v>4.643962848297214</v>
      </c>
      <c r="E11" s="64" t="s">
        <v>44</v>
      </c>
      <c r="F11" s="65">
        <v>0.5</v>
      </c>
      <c r="G11" s="65">
        <v>0.6</v>
      </c>
      <c r="H11" s="65">
        <v>0.7</v>
      </c>
      <c r="I11" s="65">
        <v>0.8</v>
      </c>
      <c r="J11" s="65">
        <v>0.9</v>
      </c>
      <c r="K11" s="65">
        <v>1</v>
      </c>
      <c r="L11" s="65">
        <v>1.1000000000000001</v>
      </c>
      <c r="M11" s="65">
        <v>1.2</v>
      </c>
      <c r="N11" s="65">
        <v>1.3</v>
      </c>
    </row>
    <row r="12" spans="2:15" x14ac:dyDescent="0.35">
      <c r="B12" s="49" t="str">
        <f>'Test Scores'!B8</f>
        <v>Athlete 3</v>
      </c>
      <c r="C12" s="50">
        <f>'Test Scores'!G8</f>
        <v>4.615384615384615</v>
      </c>
      <c r="E12" s="66">
        <v>15</v>
      </c>
      <c r="F12" s="67">
        <f>($K$8*0.5)*15</f>
        <v>33.75</v>
      </c>
      <c r="G12" s="67">
        <f>($K$8*0.6)*15</f>
        <v>40.499999999999993</v>
      </c>
      <c r="H12" s="67">
        <f>($K$8*0.7)*15</f>
        <v>47.25</v>
      </c>
      <c r="I12" s="67">
        <f>($K$8*0.8)*15</f>
        <v>54</v>
      </c>
      <c r="J12" s="67">
        <f>($K$8*0.9)*15</f>
        <v>60.75</v>
      </c>
      <c r="K12" s="67">
        <f>($K$8*1)*15</f>
        <v>67.5</v>
      </c>
      <c r="L12" s="67">
        <f>($K$8*1.1)*15</f>
        <v>74.25</v>
      </c>
      <c r="M12" s="67">
        <f>($K$8*1.2)*15</f>
        <v>80.999999999999986</v>
      </c>
      <c r="N12" s="67">
        <f>($K$8*1.3)*15</f>
        <v>87.750000000000014</v>
      </c>
    </row>
    <row r="13" spans="2:15" x14ac:dyDescent="0.35">
      <c r="B13" s="49" t="str">
        <f>'Test Scores'!B29</f>
        <v>Athlete 24</v>
      </c>
      <c r="C13" s="50">
        <f>'Test Scores'!G29</f>
        <v>4.4776119402985071</v>
      </c>
      <c r="E13" s="66">
        <v>20</v>
      </c>
      <c r="F13" s="68">
        <f>($K$8*0.5)*20</f>
        <v>45</v>
      </c>
      <c r="G13" s="68">
        <f>($K$8*0.6)*20</f>
        <v>53.999999999999993</v>
      </c>
      <c r="H13" s="68">
        <f>($K$8*0.7)*20</f>
        <v>63</v>
      </c>
      <c r="I13" s="68">
        <f>($K$8*0.8)*20</f>
        <v>72</v>
      </c>
      <c r="J13" s="68">
        <f>($K$8*0.9)*20</f>
        <v>81</v>
      </c>
      <c r="K13" s="68">
        <f>($K$8*1)*20</f>
        <v>90</v>
      </c>
      <c r="L13" s="68">
        <f>($K$8*1.1)*20</f>
        <v>99</v>
      </c>
      <c r="M13" s="68">
        <f>($K$8*1.2)*20</f>
        <v>107.99999999999999</v>
      </c>
      <c r="N13" s="68">
        <f>($K$8*1.3)*20</f>
        <v>117.00000000000001</v>
      </c>
    </row>
    <row r="14" spans="2:15" x14ac:dyDescent="0.35">
      <c r="B14" s="49" t="str">
        <f>'Test Scores'!B33</f>
        <v>Athlete 28</v>
      </c>
      <c r="C14" s="50">
        <f>'Test Scores'!G33</f>
        <v>4.4776119402985071</v>
      </c>
      <c r="E14" s="66">
        <v>30</v>
      </c>
      <c r="F14" s="67">
        <f>($K$8*0.5)*30</f>
        <v>67.5</v>
      </c>
      <c r="G14" s="67">
        <f>($K$8*0.6)*30</f>
        <v>80.999999999999986</v>
      </c>
      <c r="H14" s="67">
        <f>($K$8*0.7)*30</f>
        <v>94.5</v>
      </c>
      <c r="I14" s="67">
        <f>($K$8*0.8)*30</f>
        <v>108</v>
      </c>
      <c r="J14" s="67">
        <f>($K$8*0.9)*30</f>
        <v>121.5</v>
      </c>
      <c r="K14" s="67">
        <f>($K$8*1)*30</f>
        <v>135</v>
      </c>
      <c r="L14" s="67">
        <f>($K$8*1.1)*30</f>
        <v>148.5</v>
      </c>
      <c r="M14" s="67">
        <f>($K$8*1.2)*30</f>
        <v>161.99999999999997</v>
      </c>
      <c r="N14" s="67">
        <f>($K$8*1.3)*30</f>
        <v>175.50000000000003</v>
      </c>
    </row>
    <row r="15" spans="2:15" x14ac:dyDescent="0.35">
      <c r="B15" s="49" t="str">
        <f>'Test Scores'!B13</f>
        <v>Athlete 8</v>
      </c>
      <c r="C15" s="50">
        <f>'Test Scores'!G13</f>
        <v>3.7974683544303796</v>
      </c>
      <c r="E15" s="66">
        <v>40</v>
      </c>
      <c r="F15" s="68">
        <f>($K$8*0.5)*40</f>
        <v>90</v>
      </c>
      <c r="G15" s="68">
        <f>($K$8*0.6)*40</f>
        <v>107.99999999999999</v>
      </c>
      <c r="H15" s="68">
        <f>($K$8*0.7)*40</f>
        <v>126</v>
      </c>
      <c r="I15" s="68">
        <f>($K$8*0.8)*40</f>
        <v>144</v>
      </c>
      <c r="J15" s="68">
        <f>($K$8*0.9)*40</f>
        <v>162</v>
      </c>
      <c r="K15" s="68">
        <f>($K$8*1)*40</f>
        <v>180</v>
      </c>
      <c r="L15" s="68">
        <f>($K$8*1.1)*40</f>
        <v>198</v>
      </c>
      <c r="M15" s="68">
        <f>($K$8*1.2)*40</f>
        <v>215.99999999999997</v>
      </c>
      <c r="N15" s="68">
        <f>($K$8*1.3)*40</f>
        <v>234.00000000000003</v>
      </c>
    </row>
    <row r="16" spans="2:15" x14ac:dyDescent="0.35">
      <c r="B16" s="49" t="str">
        <f>'Test Scores'!B22</f>
        <v>Athlete 17</v>
      </c>
      <c r="C16" s="50">
        <f>'Test Scores'!G22</f>
        <v>4.4247787610619467</v>
      </c>
      <c r="E16" s="66">
        <v>50</v>
      </c>
      <c r="F16" s="67">
        <f>($K$8*0.5)*50</f>
        <v>112.5</v>
      </c>
      <c r="G16" s="67">
        <f>($K$8*0.6)*50</f>
        <v>135</v>
      </c>
      <c r="H16" s="67">
        <f>($K$8*0.7)*50</f>
        <v>157.5</v>
      </c>
      <c r="I16" s="67">
        <f>($K$8*0.8)*50</f>
        <v>180</v>
      </c>
      <c r="J16" s="67">
        <f>($K$8*0.9)*50</f>
        <v>202.5</v>
      </c>
      <c r="K16" s="67">
        <f>($K$8*1)*50</f>
        <v>225</v>
      </c>
      <c r="L16" s="67">
        <f>($K$8*1.1)*50</f>
        <v>247.5</v>
      </c>
      <c r="M16" s="67">
        <f>($K$8*1.2)*50</f>
        <v>270</v>
      </c>
      <c r="N16" s="67">
        <f>($K$8*1.3)*50</f>
        <v>292.5</v>
      </c>
    </row>
    <row r="17" spans="2:14" x14ac:dyDescent="0.35">
      <c r="B17" s="49" t="str">
        <f>'Test Scores'!B34</f>
        <v>Athlete 29</v>
      </c>
      <c r="C17" s="50">
        <f>'Test Scores'!G34</f>
        <v>4.3478260869565215</v>
      </c>
      <c r="E17" s="66">
        <v>60</v>
      </c>
      <c r="F17" s="68">
        <f>($K$8*0.5)*60</f>
        <v>135</v>
      </c>
      <c r="G17" s="68">
        <f>($K$8*0.6)*60</f>
        <v>161.99999999999997</v>
      </c>
      <c r="H17" s="68">
        <f>($K$8*0.7)*60</f>
        <v>189</v>
      </c>
      <c r="I17" s="68">
        <f>($K$8*0.8)*60</f>
        <v>216</v>
      </c>
      <c r="J17" s="68">
        <f>($K$8*0.9)*60</f>
        <v>243</v>
      </c>
      <c r="K17" s="68">
        <f>($K$8*1)*60</f>
        <v>270</v>
      </c>
      <c r="L17" s="68">
        <f>($K$8*1.1)*60</f>
        <v>297</v>
      </c>
      <c r="M17" s="68">
        <f>($K$8*1.2)*60</f>
        <v>323.99999999999994</v>
      </c>
      <c r="N17" s="68">
        <f>($K$8*1.3)*60</f>
        <v>351.00000000000006</v>
      </c>
    </row>
    <row r="18" spans="2:14" x14ac:dyDescent="0.35">
      <c r="B18" s="49" t="str">
        <f>'Test Scores'!B14</f>
        <v>Athlete 9</v>
      </c>
      <c r="C18" s="50">
        <f>'Test Scores'!G14</f>
        <v>4.3478260869565215</v>
      </c>
      <c r="E18" s="66">
        <v>70</v>
      </c>
      <c r="F18" s="67">
        <f>($K$8*0.5)*70</f>
        <v>157.5</v>
      </c>
      <c r="G18" s="67">
        <f>($K$8*0.6)*70</f>
        <v>188.99999999999997</v>
      </c>
      <c r="H18" s="67">
        <f>($K$8*0.7)*70</f>
        <v>220.5</v>
      </c>
      <c r="I18" s="67">
        <f>($K$8*0.8)*70</f>
        <v>252</v>
      </c>
      <c r="J18" s="67">
        <f>($K$8*0.9)*70</f>
        <v>283.5</v>
      </c>
      <c r="K18" s="67">
        <f>($K$8*1)*70</f>
        <v>315</v>
      </c>
      <c r="L18" s="67">
        <f>($K$8*1.1)*70</f>
        <v>346.5</v>
      </c>
      <c r="M18" s="67">
        <f>($K$8*1.2)*70</f>
        <v>377.99999999999994</v>
      </c>
      <c r="N18" s="67">
        <f>($K$8*1.3)*70</f>
        <v>409.50000000000006</v>
      </c>
    </row>
    <row r="19" spans="2:14" x14ac:dyDescent="0.35">
      <c r="B19" s="49" t="str">
        <f>'Test Scores'!B17</f>
        <v>Athlete 12</v>
      </c>
      <c r="C19" s="50">
        <f>'Test Scores'!G17</f>
        <v>4.3227665706051877</v>
      </c>
      <c r="E19" s="66">
        <v>80</v>
      </c>
      <c r="F19" s="68">
        <f>($K$8*0.5)*80</f>
        <v>180</v>
      </c>
      <c r="G19" s="68">
        <f>($K$8*0.6)*80</f>
        <v>215.99999999999997</v>
      </c>
      <c r="H19" s="68">
        <f>($K$8*0.7)*80</f>
        <v>252</v>
      </c>
      <c r="I19" s="68">
        <f>($K$8*0.8)*80</f>
        <v>288</v>
      </c>
      <c r="J19" s="68">
        <f>($K$8*0.9)*80</f>
        <v>324</v>
      </c>
      <c r="K19" s="68">
        <f>($K$8*1)*80</f>
        <v>360</v>
      </c>
      <c r="L19" s="68">
        <f>($K$8*1.1)*80</f>
        <v>396</v>
      </c>
      <c r="M19" s="68">
        <f>($K$8*1.2)*80</f>
        <v>431.99999999999994</v>
      </c>
      <c r="N19" s="68">
        <f>($K$8*1.3)*80</f>
        <v>468.00000000000006</v>
      </c>
    </row>
    <row r="20" spans="2:14" x14ac:dyDescent="0.35">
      <c r="B20" s="49" t="str">
        <f>'Test Scores'!B37</f>
        <v>Athlete 32</v>
      </c>
      <c r="C20" s="50">
        <f>'Test Scores'!G37</f>
        <v>4.3227665706051877</v>
      </c>
      <c r="E20" s="66">
        <v>90</v>
      </c>
      <c r="F20" s="67">
        <f>($K$8*0.5)*90</f>
        <v>202.5</v>
      </c>
      <c r="G20" s="67">
        <f>($K$8*0.6)*90</f>
        <v>242.99999999999997</v>
      </c>
      <c r="H20" s="67">
        <f>($K$8*0.7)*90</f>
        <v>283.5</v>
      </c>
      <c r="I20" s="67">
        <f>($K$8*0.8)*90</f>
        <v>324</v>
      </c>
      <c r="J20" s="67">
        <f>($K$8*0.9)*90</f>
        <v>364.5</v>
      </c>
      <c r="K20" s="67">
        <f>($K$8*1)*90</f>
        <v>405</v>
      </c>
      <c r="L20" s="67">
        <f>($K$8*1.1)*90</f>
        <v>445.5</v>
      </c>
      <c r="M20" s="67">
        <f>($K$8*1.2)*90</f>
        <v>485.99999999999994</v>
      </c>
      <c r="N20" s="67">
        <f>($K$8*1.3)*90</f>
        <v>526.5</v>
      </c>
    </row>
    <row r="21" spans="2:14" x14ac:dyDescent="0.35">
      <c r="B21" s="49" t="str">
        <f>'Test Scores'!B36</f>
        <v>Athlete 31</v>
      </c>
      <c r="C21" s="50">
        <f>'Test Scores'!G36</f>
        <v>4.2979942693409745</v>
      </c>
      <c r="E21" s="66">
        <v>100</v>
      </c>
      <c r="F21" s="68">
        <f>($K$8*0.5)*100</f>
        <v>225</v>
      </c>
      <c r="G21" s="68">
        <f>($K$8*0.6)*100</f>
        <v>270</v>
      </c>
      <c r="H21" s="68">
        <f>($K$8*0.7)*100</f>
        <v>315</v>
      </c>
      <c r="I21" s="68">
        <f>($K$8*0.8)*100</f>
        <v>360</v>
      </c>
      <c r="J21" s="68">
        <f>($K$8*0.9)*100</f>
        <v>405</v>
      </c>
      <c r="K21" s="68">
        <f>($K$8*1)*100</f>
        <v>450</v>
      </c>
      <c r="L21" s="68">
        <f>($K$8*1.1)*100</f>
        <v>495</v>
      </c>
      <c r="M21" s="68">
        <f>($K$8*1.2)*100</f>
        <v>540</v>
      </c>
      <c r="N21" s="68">
        <f>($K$8*1.3)*100</f>
        <v>585</v>
      </c>
    </row>
    <row r="22" spans="2:14" x14ac:dyDescent="0.35">
      <c r="B22" s="49" t="str">
        <f>'Test Scores'!B18</f>
        <v>Athlete 13</v>
      </c>
      <c r="C22" s="50">
        <f>'Test Scores'!G18</f>
        <v>4.166666666666667</v>
      </c>
      <c r="E22" s="66">
        <v>110</v>
      </c>
      <c r="F22" s="67">
        <f>($K$8*0.5)*110</f>
        <v>247.5</v>
      </c>
      <c r="G22" s="67">
        <f>($K$8*0.6)*110</f>
        <v>296.99999999999994</v>
      </c>
      <c r="H22" s="67">
        <f>($K$8*0.7)*110</f>
        <v>346.5</v>
      </c>
      <c r="I22" s="67">
        <f>($K$8*0.8)*110</f>
        <v>396</v>
      </c>
      <c r="J22" s="67">
        <f>($K$8*0.9)*110</f>
        <v>445.5</v>
      </c>
      <c r="K22" s="67">
        <f>($K$8*1)*110</f>
        <v>495</v>
      </c>
      <c r="L22" s="67">
        <f>($K$8*1.1)*110</f>
        <v>544.5</v>
      </c>
      <c r="M22" s="67">
        <f>($K$8*1.2)*110</f>
        <v>593.99999999999989</v>
      </c>
      <c r="N22" s="67">
        <f>($K$8*1.3)*110</f>
        <v>643.50000000000011</v>
      </c>
    </row>
    <row r="23" spans="2:14" x14ac:dyDescent="0.35">
      <c r="B23" s="49" t="str">
        <f>'Test Scores'!B38</f>
        <v>Athlete 33</v>
      </c>
      <c r="C23" s="50">
        <f>'Test Scores'!G38</f>
        <v>4.166666666666667</v>
      </c>
      <c r="E23" s="66">
        <v>120</v>
      </c>
      <c r="F23" s="68">
        <f>($K$8*0.5)*120</f>
        <v>270</v>
      </c>
      <c r="G23" s="68">
        <f>($K$8*0.6)*120</f>
        <v>323.99999999999994</v>
      </c>
      <c r="H23" s="68">
        <f>($K$8*0.7)*120</f>
        <v>378</v>
      </c>
      <c r="I23" s="68">
        <f>($K$8*0.8)*120</f>
        <v>432</v>
      </c>
      <c r="J23" s="68">
        <f>($K$8*0.9)*120</f>
        <v>486</v>
      </c>
      <c r="K23" s="68">
        <f>($K$8*1)*120</f>
        <v>540</v>
      </c>
      <c r="L23" s="68">
        <f>($K$8*1.1)*120</f>
        <v>594</v>
      </c>
      <c r="M23" s="68">
        <f>($K$8*1.2)*120</f>
        <v>647.99999999999989</v>
      </c>
      <c r="N23" s="68">
        <f>($K$8*1.3)*120</f>
        <v>702.00000000000011</v>
      </c>
    </row>
    <row r="24" spans="2:14" x14ac:dyDescent="0.35">
      <c r="B24" s="49" t="str">
        <f>'Test Scores'!B23</f>
        <v>Athlete 18</v>
      </c>
      <c r="C24" s="50">
        <f>'Test Scores'!G23</f>
        <v>4.1551246537396125</v>
      </c>
    </row>
    <row r="25" spans="2:14" x14ac:dyDescent="0.35">
      <c r="B25" s="49" t="str">
        <f>'Test Scores'!B20</f>
        <v>Athlete 15</v>
      </c>
      <c r="C25" s="50">
        <f>'Test Scores'!G20</f>
        <v>4</v>
      </c>
    </row>
    <row r="26" spans="2:14" x14ac:dyDescent="0.35">
      <c r="B26" s="49" t="str">
        <f>'Test Scores'!B40</f>
        <v>Athlete 35</v>
      </c>
      <c r="C26" s="50">
        <f>'Test Scores'!G40</f>
        <v>4</v>
      </c>
    </row>
    <row r="27" spans="2:14" x14ac:dyDescent="0.35">
      <c r="B27" s="49" t="str">
        <f>'Test Scores'!B9</f>
        <v>Athlete 4</v>
      </c>
      <c r="C27" s="50">
        <f>'Test Scores'!G9</f>
        <v>4</v>
      </c>
    </row>
    <row r="28" spans="2:14" x14ac:dyDescent="0.35">
      <c r="B28" s="49" t="str">
        <f>'Test Scores'!B28</f>
        <v>Athlete 23</v>
      </c>
      <c r="C28" s="50">
        <f>'Test Scores'!G28</f>
        <v>3.9787798408488064</v>
      </c>
    </row>
    <row r="29" spans="2:14" x14ac:dyDescent="0.35">
      <c r="B29" s="49" t="str">
        <f>'Test Scores'!B32</f>
        <v>Athlete 27</v>
      </c>
      <c r="C29" s="50">
        <f>'Test Scores'!G32</f>
        <v>3.9787798408488064</v>
      </c>
    </row>
    <row r="30" spans="2:14" x14ac:dyDescent="0.35">
      <c r="B30" s="49" t="str">
        <f>'Test Scores'!B12</f>
        <v>Athlete 7</v>
      </c>
      <c r="C30" s="50">
        <f>'Test Scores'!G12</f>
        <v>3.9787798408488064</v>
      </c>
    </row>
    <row r="31" spans="2:14" x14ac:dyDescent="0.35">
      <c r="B31" s="49" t="str">
        <f>'Test Scores'!B26</f>
        <v>Athlete 21</v>
      </c>
      <c r="C31" s="50">
        <f>'Test Scores'!G26</f>
        <v>3.9577836411609497</v>
      </c>
    </row>
    <row r="32" spans="2:14" x14ac:dyDescent="0.35">
      <c r="B32" s="49" t="str">
        <f>'Test Scores'!B30</f>
        <v>Athlete 25</v>
      </c>
      <c r="C32" s="50">
        <f>'Test Scores'!G30</f>
        <v>3.9577836411609497</v>
      </c>
    </row>
    <row r="33" spans="2:3" x14ac:dyDescent="0.35">
      <c r="B33" s="49" t="str">
        <f>'Test Scores'!B15</f>
        <v>Athlete 10</v>
      </c>
      <c r="C33" s="50">
        <f>'Test Scores'!G15</f>
        <v>3.9473684210526314</v>
      </c>
    </row>
    <row r="34" spans="2:3" x14ac:dyDescent="0.35">
      <c r="B34" s="49" t="str">
        <f>'Test Scores'!B35</f>
        <v>Athlete 30</v>
      </c>
      <c r="C34" s="50">
        <f>'Test Scores'!G35</f>
        <v>3.9473684210526314</v>
      </c>
    </row>
    <row r="35" spans="2:3" x14ac:dyDescent="0.35">
      <c r="B35" s="49" t="str">
        <f>'Test Scores'!B21</f>
        <v>Athlete 16</v>
      </c>
      <c r="C35" s="50">
        <f>'Test Scores'!G21</f>
        <v>3.9370078740157481</v>
      </c>
    </row>
    <row r="36" spans="2:3" x14ac:dyDescent="0.35">
      <c r="B36" s="49" t="str">
        <f>'Test Scores'!B7</f>
        <v>Athlete 2</v>
      </c>
      <c r="C36" s="50">
        <f>'Test Scores'!G7</f>
        <v>3.7220843672456576</v>
      </c>
    </row>
    <row r="37" spans="2:3" x14ac:dyDescent="0.35">
      <c r="B37" s="49" t="str">
        <f>'Test Scores'!B27</f>
        <v>Athlete 22</v>
      </c>
      <c r="C37" s="50">
        <f>'Test Scores'!G27</f>
        <v>3.7220843672456576</v>
      </c>
    </row>
    <row r="38" spans="2:3" x14ac:dyDescent="0.35">
      <c r="B38" s="49" t="str">
        <f>'Test Scores'!B31</f>
        <v>Athlete 26</v>
      </c>
      <c r="C38" s="50">
        <f>'Test Scores'!G31</f>
        <v>3.7220843672456576</v>
      </c>
    </row>
    <row r="39" spans="2:3" x14ac:dyDescent="0.35">
      <c r="B39" s="49" t="str">
        <f>'Test Scores'!B11</f>
        <v>Athlete 6</v>
      </c>
      <c r="C39" s="50">
        <f>'Test Scores'!G11</f>
        <v>3.7220843672456576</v>
      </c>
    </row>
    <row r="40" spans="2:3" x14ac:dyDescent="0.35">
      <c r="B40" s="51" t="str">
        <f>'Test Scores'!B24</f>
        <v>Athlete 19</v>
      </c>
      <c r="C40" s="52">
        <f>'Test Scores'!G24</f>
        <v>3.6585365853658538</v>
      </c>
    </row>
  </sheetData>
  <sortState ref="B4:C38">
    <sortCondition ref="C4:C38"/>
  </sortState>
  <mergeCells count="1">
    <mergeCell ref="E4:O6"/>
  </mergeCells>
  <pageMargins left="0.7" right="0.7" top="0.75" bottom="0.75" header="0.3" footer="0.3"/>
  <pageSetup paperSize="9"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Thanks for Downloading</vt:lpstr>
      <vt:lpstr>Test Scores</vt:lpstr>
      <vt:lpstr>Distance Calculator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Owen</dc:creator>
  <cp:lastModifiedBy>Owen Walker</cp:lastModifiedBy>
  <dcterms:created xsi:type="dcterms:W3CDTF">2017-08-25T12:16:04Z</dcterms:created>
  <dcterms:modified xsi:type="dcterms:W3CDTF">2018-04-24T02:43:40Z</dcterms:modified>
</cp:coreProperties>
</file>